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661" activeTab="5"/>
  </bookViews>
  <sheets>
    <sheet name="Item1" sheetId="70" r:id="rId1"/>
    <sheet name="Item2" sheetId="71" r:id="rId2"/>
    <sheet name="Item3" sheetId="72" r:id="rId3"/>
    <sheet name="Item4" sheetId="73" r:id="rId4"/>
    <sheet name="Item5" sheetId="74" r:id="rId5"/>
    <sheet name="Item6" sheetId="75" r:id="rId6"/>
    <sheet name="Item7" sheetId="38" r:id="rId7"/>
    <sheet name="Item8" sheetId="39" r:id="rId8"/>
    <sheet name="Item9" sheetId="40" r:id="rId9"/>
    <sheet name="Item10" sheetId="41" r:id="rId10"/>
    <sheet name="Item11" sheetId="42" r:id="rId11"/>
    <sheet name="Item12" sheetId="43" r:id="rId12"/>
    <sheet name="Item13" sheetId="44" r:id="rId13"/>
    <sheet name="Item14" sheetId="45" r:id="rId14"/>
    <sheet name="Item15" sheetId="46" r:id="rId15"/>
    <sheet name="Item16" sheetId="47" r:id="rId16"/>
    <sheet name="Item17" sheetId="48" r:id="rId17"/>
    <sheet name="Item18" sheetId="49" r:id="rId18"/>
    <sheet name="Item19" sheetId="50" r:id="rId19"/>
    <sheet name="Item20" sheetId="51" r:id="rId20"/>
    <sheet name="Item21" sheetId="52" r:id="rId21"/>
    <sheet name="Item22" sheetId="53" r:id="rId22"/>
    <sheet name="Item23" sheetId="54" r:id="rId23"/>
    <sheet name="Item24" sheetId="55" r:id="rId24"/>
    <sheet name="Item25" sheetId="56" r:id="rId25"/>
    <sheet name="Item26" sheetId="57" r:id="rId26"/>
    <sheet name="Item27" sheetId="58" r:id="rId27"/>
    <sheet name="Item28" sheetId="59" r:id="rId28"/>
    <sheet name="Item29" sheetId="60" r:id="rId29"/>
    <sheet name="Item30" sheetId="61" r:id="rId30"/>
    <sheet name="Item31" sheetId="62" r:id="rId31"/>
    <sheet name="Item32" sheetId="63" r:id="rId32"/>
    <sheet name="Item33" sheetId="64" r:id="rId33"/>
    <sheet name="Item34" sheetId="65" r:id="rId34"/>
    <sheet name="Item35" sheetId="66" r:id="rId35"/>
    <sheet name="Item36" sheetId="67" r:id="rId36"/>
    <sheet name="Item37" sheetId="68" r:id="rId37"/>
    <sheet name="Item38" sheetId="69" r:id="rId38"/>
    <sheet name="Item39" sheetId="22" r:id="rId39"/>
    <sheet name="Item40" sheetId="23" r:id="rId40"/>
    <sheet name="Item41" sheetId="24" r:id="rId41"/>
    <sheet name="Item42" sheetId="25" r:id="rId42"/>
    <sheet name="Item43" sheetId="26" r:id="rId43"/>
    <sheet name="Item44" sheetId="27" r:id="rId44"/>
    <sheet name="Item45" sheetId="28" r:id="rId45"/>
    <sheet name="Item46" sheetId="29" r:id="rId46"/>
    <sheet name="Item47" sheetId="30" r:id="rId47"/>
    <sheet name="Item48" sheetId="31" r:id="rId48"/>
    <sheet name="Item49" sheetId="32" r:id="rId49"/>
    <sheet name="Item50" sheetId="33" r:id="rId50"/>
    <sheet name="Item51" sheetId="76" r:id="rId51"/>
    <sheet name="Item52" sheetId="77" r:id="rId52"/>
    <sheet name="Item53" sheetId="78" r:id="rId53"/>
    <sheet name="Item54" sheetId="79" r:id="rId54"/>
    <sheet name="Item55" sheetId="80" r:id="rId55"/>
    <sheet name="Item56" sheetId="81" r:id="rId56"/>
    <sheet name="Item57" sheetId="82" state="hidden" r:id="rId57"/>
    <sheet name="Item58" sheetId="83" state="hidden" r:id="rId58"/>
    <sheet name="Item59" sheetId="84" state="hidden" r:id="rId59"/>
    <sheet name="Item60" sheetId="85" state="hidden" r:id="rId60"/>
    <sheet name="Item61" sheetId="86" state="hidden" r:id="rId61"/>
    <sheet name="Item62" sheetId="87" state="hidden" r:id="rId62"/>
    <sheet name="Item63" sheetId="88" state="hidden" r:id="rId63"/>
    <sheet name="Item64" sheetId="89" state="hidden" r:id="rId64"/>
    <sheet name="Item65" sheetId="90" state="hidden" r:id="rId65"/>
    <sheet name="Item66" sheetId="91" state="hidden" r:id="rId66"/>
    <sheet name="Item67" sheetId="92" state="hidden" r:id="rId67"/>
    <sheet name="Item68" sheetId="93" state="hidden" r:id="rId68"/>
    <sheet name="Item69" sheetId="94" state="hidden" r:id="rId69"/>
    <sheet name="Item70" sheetId="95" state="hidden" r:id="rId70"/>
    <sheet name="Item71" sheetId="96" state="hidden" r:id="rId71"/>
    <sheet name="Item72" sheetId="97" state="hidden" r:id="rId72"/>
    <sheet name="Item73" sheetId="98" state="hidden" r:id="rId73"/>
    <sheet name="Item74" sheetId="99" state="hidden" r:id="rId74"/>
    <sheet name="Item75" sheetId="100" state="hidden" r:id="rId75"/>
    <sheet name="Item76" sheetId="101" state="hidden" r:id="rId76"/>
    <sheet name="Item77" sheetId="102" state="hidden" r:id="rId77"/>
    <sheet name="Item78" sheetId="103" state="hidden" r:id="rId78"/>
    <sheet name="Item79" sheetId="104" state="hidden" r:id="rId79"/>
    <sheet name="Item80" sheetId="105" state="hidden" r:id="rId80"/>
    <sheet name="Item81" sheetId="106" state="hidden" r:id="rId81"/>
    <sheet name="Item82" sheetId="107" state="hidden" r:id="rId82"/>
    <sheet name="Item83" sheetId="108" state="hidden" r:id="rId83"/>
    <sheet name="Item84" sheetId="109" state="hidden" r:id="rId84"/>
    <sheet name="Item85" sheetId="110" state="hidden" r:id="rId85"/>
    <sheet name="Item86" sheetId="111" state="hidden" r:id="rId86"/>
    <sheet name="Item87" sheetId="112" state="hidden" r:id="rId87"/>
    <sheet name="Item88" sheetId="113" state="hidden" r:id="rId88"/>
    <sheet name="Item89" sheetId="114" state="hidden" r:id="rId89"/>
    <sheet name="Item90" sheetId="115" state="hidden" r:id="rId90"/>
    <sheet name="Item91" sheetId="116" state="hidden" r:id="rId91"/>
    <sheet name="Item92" sheetId="117" state="hidden" r:id="rId92"/>
    <sheet name="Item93" sheetId="118" state="hidden" r:id="rId93"/>
    <sheet name="Item94" sheetId="119" state="hidden" r:id="rId94"/>
    <sheet name="Item95" sheetId="120" state="hidden" r:id="rId95"/>
    <sheet name="Item96" sheetId="121" state="hidden" r:id="rId96"/>
    <sheet name="Item97" sheetId="122" state="hidden" r:id="rId97"/>
    <sheet name="Item98" sheetId="123" state="hidden" r:id="rId98"/>
    <sheet name="Item99" sheetId="124" state="hidden" r:id="rId99"/>
    <sheet name="Item100" sheetId="125" state="hidden" r:id="rId100"/>
    <sheet name="TOTAL" sheetId="5" r:id="rId101"/>
    <sheet name="menores" sheetId="6" r:id="rId102"/>
  </sheets>
  <definedNames>
    <definedName name="_xlnm.Print_Area" localSheetId="101">menores!$A$1:$G$59</definedName>
    <definedName name="_xlnm.Print_Area" localSheetId="100">TOTAL!$A$1:$F$59</definedName>
    <definedName name="_xlnm.Print_Titles" localSheetId="101">menores!$1:$2</definedName>
    <definedName name="_xlnm.Print_Titles" localSheetId="100">TOTAL!$1:$2</definedName>
  </definedNames>
  <calcPr calcId="145621"/>
</workbook>
</file>

<file path=xl/calcChain.xml><?xml version="1.0" encoding="utf-8"?>
<calcChain xmlns="http://schemas.openxmlformats.org/spreadsheetml/2006/main">
  <c r="F58" i="6" l="1"/>
  <c r="E58" i="6"/>
  <c r="D58" i="6"/>
  <c r="C58" i="6"/>
  <c r="B58" i="6"/>
  <c r="D3" i="81"/>
  <c r="D58" i="5" s="1"/>
  <c r="C58" i="5"/>
  <c r="B58" i="5"/>
  <c r="D3" i="80"/>
  <c r="D3" i="59"/>
  <c r="D3" i="79"/>
  <c r="D3" i="74"/>
  <c r="D3" i="78"/>
  <c r="D3" i="70"/>
  <c r="G58" i="6" l="1"/>
  <c r="E57" i="6"/>
  <c r="D57" i="6"/>
  <c r="B57" i="6"/>
  <c r="E56" i="6"/>
  <c r="D56" i="6"/>
  <c r="B56" i="6"/>
  <c r="E55" i="6"/>
  <c r="D55" i="6"/>
  <c r="B55" i="6"/>
  <c r="E54" i="6"/>
  <c r="D54" i="6"/>
  <c r="B54" i="6"/>
  <c r="D53" i="6"/>
  <c r="E53" i="6"/>
  <c r="B53" i="6"/>
  <c r="C57" i="5"/>
  <c r="D57" i="5"/>
  <c r="B57" i="5"/>
  <c r="C56" i="5"/>
  <c r="D56" i="5"/>
  <c r="B56" i="5"/>
  <c r="C55" i="5"/>
  <c r="D55" i="5"/>
  <c r="B55" i="5"/>
  <c r="D53" i="5"/>
  <c r="D54" i="5"/>
  <c r="C54" i="5"/>
  <c r="B54" i="5"/>
  <c r="C53" i="5"/>
  <c r="B53" i="5"/>
  <c r="H20" i="125"/>
  <c r="G20" i="125" s="1"/>
  <c r="F20" i="125"/>
  <c r="D20" i="125"/>
  <c r="B20" i="125"/>
  <c r="I17" i="125"/>
  <c r="I16" i="125"/>
  <c r="I15" i="125"/>
  <c r="I14" i="125"/>
  <c r="I13" i="125"/>
  <c r="I12" i="125"/>
  <c r="I11" i="125"/>
  <c r="I10" i="125"/>
  <c r="I9" i="125"/>
  <c r="I8" i="125"/>
  <c r="I7" i="125"/>
  <c r="I6" i="125"/>
  <c r="F3" i="125"/>
  <c r="H20" i="124"/>
  <c r="G20" i="124"/>
  <c r="F20" i="124"/>
  <c r="D20" i="124"/>
  <c r="B20" i="124"/>
  <c r="A20" i="124" s="1"/>
  <c r="C20" i="124" s="1"/>
  <c r="I17" i="124"/>
  <c r="I16" i="124"/>
  <c r="I15" i="124"/>
  <c r="I14" i="124"/>
  <c r="I13" i="124"/>
  <c r="I12" i="124"/>
  <c r="I11" i="124"/>
  <c r="I10" i="124"/>
  <c r="I9" i="124"/>
  <c r="I8" i="124"/>
  <c r="I7" i="124"/>
  <c r="I6" i="124"/>
  <c r="F3" i="124"/>
  <c r="H20" i="123"/>
  <c r="G20" i="123" s="1"/>
  <c r="F20" i="123"/>
  <c r="D20" i="123"/>
  <c r="B20" i="123"/>
  <c r="I17" i="123"/>
  <c r="I16" i="123"/>
  <c r="I15" i="123"/>
  <c r="I14" i="123"/>
  <c r="I13" i="123"/>
  <c r="I12" i="123"/>
  <c r="I11" i="123"/>
  <c r="I10" i="123"/>
  <c r="I9" i="123"/>
  <c r="I8" i="123"/>
  <c r="I7" i="123"/>
  <c r="I6" i="123"/>
  <c r="F3" i="123"/>
  <c r="H20" i="122"/>
  <c r="G20" i="122"/>
  <c r="F20" i="122"/>
  <c r="D20" i="122"/>
  <c r="C20" i="122"/>
  <c r="I3" i="122" s="1"/>
  <c r="B20" i="122"/>
  <c r="A20" i="122" s="1"/>
  <c r="I17" i="122"/>
  <c r="I16" i="122"/>
  <c r="I15" i="122"/>
  <c r="I14" i="122"/>
  <c r="I13" i="122"/>
  <c r="I12" i="122"/>
  <c r="I11" i="122"/>
  <c r="I10" i="122"/>
  <c r="I9" i="122"/>
  <c r="I8" i="122"/>
  <c r="I7" i="122"/>
  <c r="I6" i="122"/>
  <c r="I4" i="122"/>
  <c r="F3" i="122"/>
  <c r="H20" i="121"/>
  <c r="G20" i="121" s="1"/>
  <c r="F20" i="121"/>
  <c r="D20" i="121"/>
  <c r="B20" i="121"/>
  <c r="I17" i="121"/>
  <c r="I16" i="121"/>
  <c r="I15" i="121"/>
  <c r="I14" i="121"/>
  <c r="I13" i="121"/>
  <c r="I12" i="121"/>
  <c r="I11" i="121"/>
  <c r="I10" i="121"/>
  <c r="I9" i="121"/>
  <c r="I8" i="121"/>
  <c r="I7" i="121"/>
  <c r="I6" i="121"/>
  <c r="F3" i="121"/>
  <c r="H20" i="120"/>
  <c r="G20" i="120" s="1"/>
  <c r="F20" i="120"/>
  <c r="D20" i="120"/>
  <c r="B20" i="120"/>
  <c r="A20" i="120"/>
  <c r="C20" i="120" s="1"/>
  <c r="I17" i="120"/>
  <c r="I16" i="120"/>
  <c r="I15" i="120"/>
  <c r="I14" i="120"/>
  <c r="I13" i="120"/>
  <c r="I12" i="120"/>
  <c r="I11" i="120"/>
  <c r="I10" i="120"/>
  <c r="I9" i="120"/>
  <c r="I8" i="120"/>
  <c r="I7" i="120"/>
  <c r="I6" i="120"/>
  <c r="F3" i="120"/>
  <c r="H20" i="119"/>
  <c r="G20" i="119" s="1"/>
  <c r="F20" i="119"/>
  <c r="D20" i="119"/>
  <c r="B20" i="119"/>
  <c r="I17" i="119"/>
  <c r="I16" i="119"/>
  <c r="I15" i="119"/>
  <c r="I14" i="119"/>
  <c r="I13" i="119"/>
  <c r="I12" i="119"/>
  <c r="I11" i="119"/>
  <c r="I10" i="119"/>
  <c r="I9" i="119"/>
  <c r="I8" i="119"/>
  <c r="I7" i="119"/>
  <c r="I6" i="119"/>
  <c r="F3" i="119"/>
  <c r="H20" i="118"/>
  <c r="G20" i="118" s="1"/>
  <c r="F20" i="118"/>
  <c r="D20" i="118"/>
  <c r="B20" i="118"/>
  <c r="A20" i="118" s="1"/>
  <c r="I17" i="118"/>
  <c r="I16" i="118"/>
  <c r="I15" i="118"/>
  <c r="I14" i="118"/>
  <c r="I13" i="118"/>
  <c r="I12" i="118"/>
  <c r="I11" i="118"/>
  <c r="I10" i="118"/>
  <c r="I9" i="118"/>
  <c r="I8" i="118"/>
  <c r="I7" i="118"/>
  <c r="I6" i="118"/>
  <c r="I4" i="118"/>
  <c r="F3" i="118"/>
  <c r="H20" i="117"/>
  <c r="G20" i="117" s="1"/>
  <c r="F20" i="117"/>
  <c r="D20" i="117"/>
  <c r="B20" i="117"/>
  <c r="I17" i="117"/>
  <c r="I16" i="117"/>
  <c r="I15" i="117"/>
  <c r="I14" i="117"/>
  <c r="I13" i="117"/>
  <c r="I12" i="117"/>
  <c r="I11" i="117"/>
  <c r="I10" i="117"/>
  <c r="I9" i="117"/>
  <c r="I8" i="117"/>
  <c r="I7" i="117"/>
  <c r="I6" i="117"/>
  <c r="F3" i="117"/>
  <c r="H20" i="116"/>
  <c r="G20" i="116" s="1"/>
  <c r="F20" i="116"/>
  <c r="D20" i="116"/>
  <c r="B20" i="116"/>
  <c r="A20" i="116" s="1"/>
  <c r="C20" i="116" s="1"/>
  <c r="I17" i="116"/>
  <c r="I16" i="116"/>
  <c r="I15" i="116"/>
  <c r="I14" i="116"/>
  <c r="I13" i="116"/>
  <c r="I12" i="116"/>
  <c r="I11" i="116"/>
  <c r="I10" i="116"/>
  <c r="I9" i="116"/>
  <c r="I8" i="116"/>
  <c r="I7" i="116"/>
  <c r="I6" i="116"/>
  <c r="F3" i="116"/>
  <c r="H20" i="115"/>
  <c r="G20" i="115" s="1"/>
  <c r="F20" i="115"/>
  <c r="D20" i="115"/>
  <c r="B20" i="115"/>
  <c r="I17" i="115"/>
  <c r="I16" i="115"/>
  <c r="I15" i="115"/>
  <c r="I14" i="115"/>
  <c r="I13" i="115"/>
  <c r="I12" i="115"/>
  <c r="I11" i="115"/>
  <c r="I10" i="115"/>
  <c r="I9" i="115"/>
  <c r="I8" i="115"/>
  <c r="I7" i="115"/>
  <c r="I6" i="115"/>
  <c r="F3" i="115"/>
  <c r="H20" i="114"/>
  <c r="G20" i="114" s="1"/>
  <c r="F20" i="114"/>
  <c r="D20" i="114"/>
  <c r="C20" i="114"/>
  <c r="I3" i="114" s="1"/>
  <c r="B20" i="114"/>
  <c r="A20" i="114"/>
  <c r="I17" i="114"/>
  <c r="I16" i="114"/>
  <c r="I15" i="114"/>
  <c r="I14" i="114"/>
  <c r="I13" i="114"/>
  <c r="I12" i="114"/>
  <c r="I11" i="114"/>
  <c r="I10" i="114"/>
  <c r="I9" i="114"/>
  <c r="I8" i="114"/>
  <c r="I7" i="114"/>
  <c r="I6" i="114"/>
  <c r="I4" i="114"/>
  <c r="F3" i="114"/>
  <c r="H20" i="113"/>
  <c r="G20" i="113" s="1"/>
  <c r="F20" i="113"/>
  <c r="D20" i="113"/>
  <c r="B20" i="113"/>
  <c r="I17" i="113"/>
  <c r="I16" i="113"/>
  <c r="I15" i="113"/>
  <c r="I14" i="113"/>
  <c r="I13" i="113"/>
  <c r="I12" i="113"/>
  <c r="I11" i="113"/>
  <c r="I10" i="113"/>
  <c r="I9" i="113"/>
  <c r="I8" i="113"/>
  <c r="I7" i="113"/>
  <c r="I6" i="113"/>
  <c r="F3" i="113"/>
  <c r="H20" i="112"/>
  <c r="G20" i="112"/>
  <c r="F20" i="112"/>
  <c r="D20" i="112"/>
  <c r="B20" i="112"/>
  <c r="A20" i="112" s="1"/>
  <c r="C20" i="112" s="1"/>
  <c r="I17" i="112"/>
  <c r="I16" i="112"/>
  <c r="I15" i="112"/>
  <c r="I14" i="112"/>
  <c r="I13" i="112"/>
  <c r="I12" i="112"/>
  <c r="I11" i="112"/>
  <c r="I10" i="112"/>
  <c r="I9" i="112"/>
  <c r="I8" i="112"/>
  <c r="I7" i="112"/>
  <c r="I6" i="112"/>
  <c r="F3" i="112"/>
  <c r="H20" i="111"/>
  <c r="G20" i="111" s="1"/>
  <c r="F20" i="111"/>
  <c r="D20" i="111"/>
  <c r="B20" i="111"/>
  <c r="I17" i="111"/>
  <c r="I16" i="111"/>
  <c r="I15" i="111"/>
  <c r="I14" i="111"/>
  <c r="I13" i="111"/>
  <c r="I12" i="111"/>
  <c r="I11" i="111"/>
  <c r="I10" i="111"/>
  <c r="I9" i="111"/>
  <c r="I8" i="111"/>
  <c r="I7" i="111"/>
  <c r="I6" i="111"/>
  <c r="F3" i="111"/>
  <c r="H20" i="110"/>
  <c r="G20" i="110"/>
  <c r="F20" i="110"/>
  <c r="D20" i="110"/>
  <c r="C20" i="110"/>
  <c r="I3" i="110" s="1"/>
  <c r="B20" i="110"/>
  <c r="A20" i="110" s="1"/>
  <c r="I17" i="110"/>
  <c r="I16" i="110"/>
  <c r="I15" i="110"/>
  <c r="I14" i="110"/>
  <c r="I13" i="110"/>
  <c r="I12" i="110"/>
  <c r="I11" i="110"/>
  <c r="I10" i="110"/>
  <c r="I9" i="110"/>
  <c r="I8" i="110"/>
  <c r="I7" i="110"/>
  <c r="I6" i="110"/>
  <c r="I4" i="110"/>
  <c r="F3" i="110"/>
  <c r="H20" i="109"/>
  <c r="G20" i="109" s="1"/>
  <c r="F20" i="109"/>
  <c r="D20" i="109"/>
  <c r="B20" i="109"/>
  <c r="I17" i="109"/>
  <c r="I16" i="109"/>
  <c r="I15" i="109"/>
  <c r="I14" i="109"/>
  <c r="I13" i="109"/>
  <c r="I12" i="109"/>
  <c r="I11" i="109"/>
  <c r="I10" i="109"/>
  <c r="I9" i="109"/>
  <c r="I8" i="109"/>
  <c r="I7" i="109"/>
  <c r="I6" i="109"/>
  <c r="F3" i="109"/>
  <c r="H20" i="108"/>
  <c r="G20" i="108" s="1"/>
  <c r="F20" i="108"/>
  <c r="D20" i="108"/>
  <c r="B20" i="108"/>
  <c r="A20" i="108"/>
  <c r="C20" i="108" s="1"/>
  <c r="I17" i="108"/>
  <c r="I16" i="108"/>
  <c r="I15" i="108"/>
  <c r="I14" i="108"/>
  <c r="I13" i="108"/>
  <c r="I12" i="108"/>
  <c r="I11" i="108"/>
  <c r="I10" i="108"/>
  <c r="I9" i="108"/>
  <c r="I8" i="108"/>
  <c r="I7" i="108"/>
  <c r="I6" i="108"/>
  <c r="F3" i="108"/>
  <c r="H20" i="107"/>
  <c r="G20" i="107" s="1"/>
  <c r="F20" i="107"/>
  <c r="D20" i="107"/>
  <c r="B20" i="107"/>
  <c r="I17" i="107"/>
  <c r="I16" i="107"/>
  <c r="I15" i="107"/>
  <c r="I14" i="107"/>
  <c r="I13" i="107"/>
  <c r="I12" i="107"/>
  <c r="I11" i="107"/>
  <c r="I10" i="107"/>
  <c r="I9" i="107"/>
  <c r="I8" i="107"/>
  <c r="I7" i="107"/>
  <c r="I6" i="107"/>
  <c r="F3" i="107"/>
  <c r="H20" i="106"/>
  <c r="G20" i="106" s="1"/>
  <c r="F20" i="106"/>
  <c r="D20" i="106"/>
  <c r="B20" i="106"/>
  <c r="A20" i="106" s="1"/>
  <c r="I17" i="106"/>
  <c r="I16" i="106"/>
  <c r="I15" i="106"/>
  <c r="I14" i="106"/>
  <c r="I13" i="106"/>
  <c r="I12" i="106"/>
  <c r="I11" i="106"/>
  <c r="I10" i="106"/>
  <c r="I9" i="106"/>
  <c r="I8" i="106"/>
  <c r="I7" i="106"/>
  <c r="I6" i="106"/>
  <c r="I4" i="106"/>
  <c r="F3" i="106"/>
  <c r="H20" i="105"/>
  <c r="G20" i="105" s="1"/>
  <c r="F20" i="105"/>
  <c r="D20" i="105"/>
  <c r="B20" i="105"/>
  <c r="I17" i="105"/>
  <c r="I16" i="105"/>
  <c r="I15" i="105"/>
  <c r="I14" i="105"/>
  <c r="I13" i="105"/>
  <c r="I12" i="105"/>
  <c r="I11" i="105"/>
  <c r="I10" i="105"/>
  <c r="I9" i="105"/>
  <c r="I8" i="105"/>
  <c r="I7" i="105"/>
  <c r="I6" i="105"/>
  <c r="F3" i="105"/>
  <c r="H20" i="104"/>
  <c r="G20" i="104" s="1"/>
  <c r="F20" i="104"/>
  <c r="D20" i="104"/>
  <c r="B20" i="104"/>
  <c r="A20" i="104" s="1"/>
  <c r="C20" i="104" s="1"/>
  <c r="I17" i="104"/>
  <c r="I16" i="104"/>
  <c r="I15" i="104"/>
  <c r="I14" i="104"/>
  <c r="I13" i="104"/>
  <c r="I12" i="104"/>
  <c r="I11" i="104"/>
  <c r="I10" i="104"/>
  <c r="I9" i="104"/>
  <c r="I8" i="104"/>
  <c r="I7" i="104"/>
  <c r="I6" i="104"/>
  <c r="F3" i="104"/>
  <c r="H20" i="103"/>
  <c r="G20" i="103" s="1"/>
  <c r="F20" i="103"/>
  <c r="D20" i="103"/>
  <c r="B20" i="103"/>
  <c r="I17" i="103"/>
  <c r="I16" i="103"/>
  <c r="I15" i="103"/>
  <c r="I14" i="103"/>
  <c r="I13" i="103"/>
  <c r="I12" i="103"/>
  <c r="I11" i="103"/>
  <c r="I10" i="103"/>
  <c r="I9" i="103"/>
  <c r="I8" i="103"/>
  <c r="I7" i="103"/>
  <c r="I6" i="103"/>
  <c r="F3" i="103"/>
  <c r="H20" i="102"/>
  <c r="G20" i="102" s="1"/>
  <c r="F20" i="102"/>
  <c r="D20" i="102"/>
  <c r="C20" i="102"/>
  <c r="B20" i="102"/>
  <c r="A20" i="102"/>
  <c r="I17" i="102"/>
  <c r="I16" i="102"/>
  <c r="I15" i="102"/>
  <c r="I14" i="102"/>
  <c r="I13" i="102"/>
  <c r="I12" i="102"/>
  <c r="I11" i="102"/>
  <c r="I10" i="102"/>
  <c r="I9" i="102"/>
  <c r="I8" i="102"/>
  <c r="I7" i="102"/>
  <c r="I6" i="102"/>
  <c r="I4" i="102"/>
  <c r="F3" i="102"/>
  <c r="H20" i="101"/>
  <c r="G20" i="101" s="1"/>
  <c r="F20" i="101"/>
  <c r="D20" i="101"/>
  <c r="B20" i="101"/>
  <c r="I17" i="101"/>
  <c r="I16" i="101"/>
  <c r="I15" i="101"/>
  <c r="I14" i="101"/>
  <c r="I13" i="101"/>
  <c r="I12" i="101"/>
  <c r="I11" i="101"/>
  <c r="I10" i="101"/>
  <c r="I9" i="101"/>
  <c r="I8" i="101"/>
  <c r="I7" i="101"/>
  <c r="I6" i="101"/>
  <c r="F3" i="101"/>
  <c r="H20" i="100"/>
  <c r="G20" i="100"/>
  <c r="F20" i="100"/>
  <c r="D20" i="100"/>
  <c r="B20" i="100"/>
  <c r="A20" i="100" s="1"/>
  <c r="C20" i="100" s="1"/>
  <c r="I17" i="100"/>
  <c r="I16" i="100"/>
  <c r="I15" i="100"/>
  <c r="I14" i="100"/>
  <c r="I13" i="100"/>
  <c r="I12" i="100"/>
  <c r="I11" i="100"/>
  <c r="I10" i="100"/>
  <c r="I9" i="100"/>
  <c r="I8" i="100"/>
  <c r="I7" i="100"/>
  <c r="I6" i="100"/>
  <c r="F3" i="100"/>
  <c r="H20" i="99"/>
  <c r="G20" i="99" s="1"/>
  <c r="F20" i="99"/>
  <c r="D20" i="99"/>
  <c r="B20" i="99"/>
  <c r="I17" i="99"/>
  <c r="I16" i="99"/>
  <c r="I15" i="99"/>
  <c r="I14" i="99"/>
  <c r="I13" i="99"/>
  <c r="I12" i="99"/>
  <c r="I11" i="99"/>
  <c r="I10" i="99"/>
  <c r="I9" i="99"/>
  <c r="I8" i="99"/>
  <c r="I7" i="99"/>
  <c r="I6" i="99"/>
  <c r="F3" i="99"/>
  <c r="H20" i="98"/>
  <c r="G20" i="98"/>
  <c r="F20" i="98"/>
  <c r="D20" i="98"/>
  <c r="C20" i="98"/>
  <c r="B20" i="98"/>
  <c r="A20" i="98" s="1"/>
  <c r="I17" i="98"/>
  <c r="I16" i="98"/>
  <c r="I15" i="98"/>
  <c r="I14" i="98"/>
  <c r="I13" i="98"/>
  <c r="I12" i="98"/>
  <c r="I11" i="98"/>
  <c r="I10" i="98"/>
  <c r="I9" i="98"/>
  <c r="I8" i="98"/>
  <c r="I7" i="98"/>
  <c r="I6" i="98"/>
  <c r="I4" i="98"/>
  <c r="F3" i="98"/>
  <c r="H20" i="97"/>
  <c r="G20" i="97" s="1"/>
  <c r="F20" i="97"/>
  <c r="D20" i="97"/>
  <c r="B20" i="97"/>
  <c r="I17" i="97"/>
  <c r="I16" i="97"/>
  <c r="I15" i="97"/>
  <c r="I14" i="97"/>
  <c r="I13" i="97"/>
  <c r="I12" i="97"/>
  <c r="I11" i="97"/>
  <c r="I10" i="97"/>
  <c r="I9" i="97"/>
  <c r="I8" i="97"/>
  <c r="I7" i="97"/>
  <c r="I6" i="97"/>
  <c r="F3" i="97"/>
  <c r="H20" i="96"/>
  <c r="G20" i="96" s="1"/>
  <c r="F20" i="96"/>
  <c r="D20" i="96"/>
  <c r="B20" i="96"/>
  <c r="A20" i="96" s="1"/>
  <c r="I17" i="96"/>
  <c r="I16" i="96"/>
  <c r="I15" i="96"/>
  <c r="I14" i="96"/>
  <c r="I13" i="96"/>
  <c r="I12" i="96"/>
  <c r="I11" i="96"/>
  <c r="I10" i="96"/>
  <c r="I9" i="96"/>
  <c r="I8" i="96"/>
  <c r="I7" i="96"/>
  <c r="I6" i="96"/>
  <c r="I4" i="96"/>
  <c r="F3" i="96"/>
  <c r="H20" i="95"/>
  <c r="G20" i="95" s="1"/>
  <c r="F20" i="95"/>
  <c r="D20" i="95"/>
  <c r="B20" i="95"/>
  <c r="I17" i="95"/>
  <c r="I16" i="95"/>
  <c r="I15" i="95"/>
  <c r="I14" i="95"/>
  <c r="I13" i="95"/>
  <c r="I12" i="95"/>
  <c r="I11" i="95"/>
  <c r="I10" i="95"/>
  <c r="I9" i="95"/>
  <c r="I8" i="95"/>
  <c r="I7" i="95"/>
  <c r="I6" i="95"/>
  <c r="F3" i="95"/>
  <c r="H20" i="94"/>
  <c r="G20" i="94"/>
  <c r="F20" i="94"/>
  <c r="D20" i="94"/>
  <c r="C20" i="94"/>
  <c r="B20" i="94"/>
  <c r="A20" i="94"/>
  <c r="I17" i="94"/>
  <c r="I16" i="94"/>
  <c r="I15" i="94"/>
  <c r="I14" i="94"/>
  <c r="I13" i="94"/>
  <c r="I12" i="94"/>
  <c r="I11" i="94"/>
  <c r="I10" i="94"/>
  <c r="I9" i="94"/>
  <c r="I8" i="94"/>
  <c r="I7" i="94"/>
  <c r="I6" i="94"/>
  <c r="I4" i="94"/>
  <c r="F3" i="94"/>
  <c r="H20" i="93"/>
  <c r="G20" i="93" s="1"/>
  <c r="F20" i="93"/>
  <c r="D20" i="93"/>
  <c r="B20" i="93"/>
  <c r="I17" i="93"/>
  <c r="I16" i="93"/>
  <c r="I15" i="93"/>
  <c r="I14" i="93"/>
  <c r="I13" i="93"/>
  <c r="I12" i="93"/>
  <c r="I11" i="93"/>
  <c r="I10" i="93"/>
  <c r="I9" i="93"/>
  <c r="I8" i="93"/>
  <c r="I7" i="93"/>
  <c r="I6" i="93"/>
  <c r="F3" i="93"/>
  <c r="H20" i="92"/>
  <c r="G20" i="92"/>
  <c r="F20" i="92"/>
  <c r="D20" i="92"/>
  <c r="C20" i="92"/>
  <c r="B20" i="92"/>
  <c r="A20" i="92" s="1"/>
  <c r="I17" i="92"/>
  <c r="I16" i="92"/>
  <c r="I15" i="92"/>
  <c r="I14" i="92"/>
  <c r="I13" i="92"/>
  <c r="I12" i="92"/>
  <c r="I11" i="92"/>
  <c r="I10" i="92"/>
  <c r="I9" i="92"/>
  <c r="I8" i="92"/>
  <c r="I7" i="92"/>
  <c r="I6" i="92"/>
  <c r="I3" i="92"/>
  <c r="F3" i="92"/>
  <c r="H20" i="91"/>
  <c r="G20" i="91" s="1"/>
  <c r="F20" i="91"/>
  <c r="D20" i="91"/>
  <c r="B20" i="91"/>
  <c r="I17" i="91"/>
  <c r="I16" i="91"/>
  <c r="I15" i="91"/>
  <c r="I14" i="91"/>
  <c r="I13" i="91"/>
  <c r="I12" i="91"/>
  <c r="I11" i="91"/>
  <c r="I10" i="91"/>
  <c r="I9" i="91"/>
  <c r="I8" i="91"/>
  <c r="I7" i="91"/>
  <c r="I6" i="91"/>
  <c r="F3" i="91"/>
  <c r="H20" i="90"/>
  <c r="G20" i="90" s="1"/>
  <c r="F20" i="90"/>
  <c r="D20" i="90"/>
  <c r="B20" i="90"/>
  <c r="A20" i="90" s="1"/>
  <c r="I17" i="90"/>
  <c r="I16" i="90"/>
  <c r="I15" i="90"/>
  <c r="I14" i="90"/>
  <c r="I13" i="90"/>
  <c r="I12" i="90"/>
  <c r="I11" i="90"/>
  <c r="I10" i="90"/>
  <c r="I9" i="90"/>
  <c r="I8" i="90"/>
  <c r="I7" i="90"/>
  <c r="I6" i="90"/>
  <c r="I4" i="90"/>
  <c r="F3" i="90"/>
  <c r="H20" i="89"/>
  <c r="G20" i="89" s="1"/>
  <c r="F20" i="89"/>
  <c r="D20" i="89"/>
  <c r="B20" i="89"/>
  <c r="I17" i="89"/>
  <c r="I16" i="89"/>
  <c r="I15" i="89"/>
  <c r="I14" i="89"/>
  <c r="I13" i="89"/>
  <c r="I12" i="89"/>
  <c r="I11" i="89"/>
  <c r="I10" i="89"/>
  <c r="I9" i="89"/>
  <c r="I8" i="89"/>
  <c r="I7" i="89"/>
  <c r="I6" i="89"/>
  <c r="F3" i="89"/>
  <c r="H20" i="88"/>
  <c r="G20" i="88" s="1"/>
  <c r="F20" i="88"/>
  <c r="D20" i="88"/>
  <c r="B20" i="88"/>
  <c r="A20" i="88" s="1"/>
  <c r="C20" i="88" s="1"/>
  <c r="I17" i="88"/>
  <c r="I16" i="88"/>
  <c r="I15" i="88"/>
  <c r="I14" i="88"/>
  <c r="I13" i="88"/>
  <c r="I12" i="88"/>
  <c r="I11" i="88"/>
  <c r="I10" i="88"/>
  <c r="I9" i="88"/>
  <c r="I8" i="88"/>
  <c r="I7" i="88"/>
  <c r="I6" i="88"/>
  <c r="F3" i="88"/>
  <c r="H20" i="87"/>
  <c r="G20" i="87" s="1"/>
  <c r="F20" i="87"/>
  <c r="D20" i="87"/>
  <c r="B20" i="87"/>
  <c r="I17" i="87"/>
  <c r="I16" i="87"/>
  <c r="I15" i="87"/>
  <c r="I14" i="87"/>
  <c r="I13" i="87"/>
  <c r="I12" i="87"/>
  <c r="I11" i="87"/>
  <c r="I10" i="87"/>
  <c r="I9" i="87"/>
  <c r="I8" i="87"/>
  <c r="I7" i="87"/>
  <c r="I6" i="87"/>
  <c r="F3" i="87"/>
  <c r="H20" i="86"/>
  <c r="G20" i="86" s="1"/>
  <c r="F20" i="86"/>
  <c r="D20" i="86"/>
  <c r="C20" i="86"/>
  <c r="B20" i="86"/>
  <c r="A20" i="86"/>
  <c r="I17" i="86"/>
  <c r="I16" i="86"/>
  <c r="I15" i="86"/>
  <c r="I14" i="86"/>
  <c r="I13" i="86"/>
  <c r="I12" i="86"/>
  <c r="I11" i="86"/>
  <c r="I10" i="86"/>
  <c r="I9" i="86"/>
  <c r="I8" i="86"/>
  <c r="I7" i="86"/>
  <c r="I6" i="86"/>
  <c r="I4" i="86"/>
  <c r="F3" i="86"/>
  <c r="H20" i="85"/>
  <c r="G20" i="85" s="1"/>
  <c r="F20" i="85"/>
  <c r="D20" i="85"/>
  <c r="B20" i="85"/>
  <c r="I17" i="85"/>
  <c r="I16" i="85"/>
  <c r="I15" i="85"/>
  <c r="I14" i="85"/>
  <c r="I13" i="85"/>
  <c r="I12" i="85"/>
  <c r="I11" i="85"/>
  <c r="I10" i="85"/>
  <c r="I9" i="85"/>
  <c r="I8" i="85"/>
  <c r="I7" i="85"/>
  <c r="I6" i="85"/>
  <c r="F3" i="85"/>
  <c r="H20" i="84"/>
  <c r="G20" i="84"/>
  <c r="F20" i="84"/>
  <c r="D20" i="84"/>
  <c r="B20" i="84"/>
  <c r="A20" i="84" s="1"/>
  <c r="C20" i="84" s="1"/>
  <c r="I17" i="84"/>
  <c r="I16" i="84"/>
  <c r="I15" i="84"/>
  <c r="I14" i="84"/>
  <c r="I13" i="84"/>
  <c r="I12" i="84"/>
  <c r="I11" i="84"/>
  <c r="I10" i="84"/>
  <c r="I9" i="84"/>
  <c r="I8" i="84"/>
  <c r="I7" i="84"/>
  <c r="I6" i="84"/>
  <c r="F3" i="84"/>
  <c r="H20" i="83"/>
  <c r="G20" i="83" s="1"/>
  <c r="F20" i="83"/>
  <c r="D20" i="83"/>
  <c r="B20" i="83"/>
  <c r="I17" i="83"/>
  <c r="I16" i="83"/>
  <c r="I15" i="83"/>
  <c r="I14" i="83"/>
  <c r="I13" i="83"/>
  <c r="I12" i="83"/>
  <c r="I11" i="83"/>
  <c r="I10" i="83"/>
  <c r="I9" i="83"/>
  <c r="I8" i="83"/>
  <c r="I7" i="83"/>
  <c r="I6" i="83"/>
  <c r="F3" i="83"/>
  <c r="H20" i="82"/>
  <c r="G20" i="82"/>
  <c r="F20" i="82"/>
  <c r="D20" i="82"/>
  <c r="C20" i="82"/>
  <c r="B20" i="82"/>
  <c r="A20" i="82" s="1"/>
  <c r="I17" i="82"/>
  <c r="I16" i="82"/>
  <c r="I15" i="82"/>
  <c r="I14" i="82"/>
  <c r="I13" i="82"/>
  <c r="I12" i="82"/>
  <c r="I11" i="82"/>
  <c r="I10" i="82"/>
  <c r="I9" i="82"/>
  <c r="I8" i="82"/>
  <c r="I7" i="82"/>
  <c r="I6" i="82"/>
  <c r="I4" i="82"/>
  <c r="F3" i="82"/>
  <c r="H20" i="81"/>
  <c r="G20" i="81" s="1"/>
  <c r="F20" i="81"/>
  <c r="D20" i="81"/>
  <c r="B20" i="81"/>
  <c r="I17" i="81"/>
  <c r="I16" i="81"/>
  <c r="I15" i="81"/>
  <c r="I14" i="81"/>
  <c r="I13" i="81"/>
  <c r="I12" i="81"/>
  <c r="F3" i="81"/>
  <c r="H20" i="80"/>
  <c r="G20" i="80" s="1"/>
  <c r="C57" i="6" s="1"/>
  <c r="F20" i="80"/>
  <c r="D20" i="80"/>
  <c r="B20" i="80"/>
  <c r="A20" i="80" s="1"/>
  <c r="C20" i="80" s="1"/>
  <c r="I17" i="80"/>
  <c r="I16" i="80"/>
  <c r="I15" i="80"/>
  <c r="I14" i="80"/>
  <c r="I13" i="80"/>
  <c r="I12" i="80"/>
  <c r="I11" i="80"/>
  <c r="I10" i="80"/>
  <c r="I9" i="80"/>
  <c r="F3" i="80"/>
  <c r="F57" i="6" s="1"/>
  <c r="H20" i="79"/>
  <c r="G20" i="79" s="1"/>
  <c r="C56" i="6" s="1"/>
  <c r="F20" i="79"/>
  <c r="D20" i="79"/>
  <c r="B20" i="79"/>
  <c r="I17" i="79"/>
  <c r="I16" i="79"/>
  <c r="I15" i="79"/>
  <c r="I14" i="79"/>
  <c r="I13" i="79"/>
  <c r="I12" i="79"/>
  <c r="I11" i="79"/>
  <c r="I10" i="79"/>
  <c r="I9" i="79"/>
  <c r="I8" i="79"/>
  <c r="F3" i="79"/>
  <c r="F56" i="6" s="1"/>
  <c r="H20" i="78"/>
  <c r="G20" i="78" s="1"/>
  <c r="C55" i="6" s="1"/>
  <c r="F20" i="78"/>
  <c r="D20" i="78"/>
  <c r="B20" i="78"/>
  <c r="A20" i="78" s="1"/>
  <c r="I17" i="78"/>
  <c r="I16" i="78"/>
  <c r="I15" i="78"/>
  <c r="I14" i="78"/>
  <c r="I13" i="78"/>
  <c r="I12" i="78"/>
  <c r="I11" i="78"/>
  <c r="I10" i="78"/>
  <c r="I9" i="78"/>
  <c r="I8" i="78"/>
  <c r="F3" i="78"/>
  <c r="F55" i="6" s="1"/>
  <c r="H20" i="77"/>
  <c r="G20" i="77" s="1"/>
  <c r="C54" i="6" s="1"/>
  <c r="F20" i="77"/>
  <c r="D20" i="77"/>
  <c r="B20" i="77"/>
  <c r="I17" i="77"/>
  <c r="I16" i="77"/>
  <c r="I15" i="77"/>
  <c r="I14" i="77"/>
  <c r="I13" i="77"/>
  <c r="I12" i="77"/>
  <c r="F3" i="77"/>
  <c r="F54" i="6" s="1"/>
  <c r="G54" i="6" s="1"/>
  <c r="H20" i="76"/>
  <c r="G20" i="76" s="1"/>
  <c r="C53" i="6" s="1"/>
  <c r="F20" i="76"/>
  <c r="D20" i="76"/>
  <c r="B20" i="76"/>
  <c r="A20" i="76" s="1"/>
  <c r="I17" i="76"/>
  <c r="I16" i="76"/>
  <c r="I15" i="76"/>
  <c r="I14" i="76"/>
  <c r="I13" i="76"/>
  <c r="I12" i="76"/>
  <c r="I11" i="76"/>
  <c r="I10" i="76"/>
  <c r="I9" i="76"/>
  <c r="I8" i="76"/>
  <c r="I7" i="76"/>
  <c r="I6" i="76"/>
  <c r="F3" i="76"/>
  <c r="F53" i="6" s="1"/>
  <c r="C20" i="76" l="1"/>
  <c r="I7" i="80"/>
  <c r="I6" i="80"/>
  <c r="I8" i="80"/>
  <c r="C20" i="78"/>
  <c r="G55" i="6"/>
  <c r="C20" i="90"/>
  <c r="C20" i="96"/>
  <c r="C20" i="106"/>
  <c r="C20" i="118"/>
  <c r="I3" i="118" s="1"/>
  <c r="G56" i="6"/>
  <c r="G57" i="6"/>
  <c r="G53" i="6"/>
  <c r="I4" i="84"/>
  <c r="I3" i="84"/>
  <c r="E20" i="84" s="1"/>
  <c r="I5" i="84"/>
  <c r="I3" i="76"/>
  <c r="I5" i="76"/>
  <c r="I4" i="76"/>
  <c r="I4" i="80"/>
  <c r="I3" i="80"/>
  <c r="E20" i="80" s="1"/>
  <c r="I5" i="80"/>
  <c r="I4" i="88"/>
  <c r="I3" i="88"/>
  <c r="E20" i="88"/>
  <c r="E3" i="88" s="1"/>
  <c r="I5" i="88"/>
  <c r="A20" i="77"/>
  <c r="C20" i="77" s="1"/>
  <c r="I3" i="78"/>
  <c r="A20" i="81"/>
  <c r="C20" i="81" s="1"/>
  <c r="I3" i="82"/>
  <c r="A20" i="85"/>
  <c r="C20" i="85" s="1"/>
  <c r="I3" i="86"/>
  <c r="A20" i="89"/>
  <c r="C20" i="89" s="1"/>
  <c r="I3" i="90"/>
  <c r="A20" i="93"/>
  <c r="C20" i="93"/>
  <c r="C20" i="95"/>
  <c r="A20" i="95"/>
  <c r="A20" i="97"/>
  <c r="C20" i="97"/>
  <c r="A20" i="101"/>
  <c r="C20" i="101"/>
  <c r="A20" i="105"/>
  <c r="C20" i="105"/>
  <c r="I5" i="92"/>
  <c r="I3" i="94"/>
  <c r="I5" i="94"/>
  <c r="I5" i="96"/>
  <c r="I3" i="96"/>
  <c r="I3" i="98"/>
  <c r="E20" i="98" s="1"/>
  <c r="I5" i="98"/>
  <c r="I3" i="102"/>
  <c r="E20" i="102" s="1"/>
  <c r="I5" i="102"/>
  <c r="I3" i="106"/>
  <c r="E20" i="106"/>
  <c r="E3" i="106" s="1"/>
  <c r="I5" i="106"/>
  <c r="I5" i="116"/>
  <c r="I4" i="116"/>
  <c r="I3" i="116"/>
  <c r="E20" i="116" s="1"/>
  <c r="I5" i="124"/>
  <c r="I4" i="124"/>
  <c r="I3" i="124"/>
  <c r="E20" i="124" s="1"/>
  <c r="I5" i="78"/>
  <c r="A20" i="79"/>
  <c r="C20" i="79" s="1"/>
  <c r="I5" i="82"/>
  <c r="A20" i="83"/>
  <c r="C20" i="83" s="1"/>
  <c r="I5" i="86"/>
  <c r="A20" i="87"/>
  <c r="C20" i="87" s="1"/>
  <c r="I5" i="90"/>
  <c r="A20" i="91"/>
  <c r="C20" i="91" s="1"/>
  <c r="I4" i="92"/>
  <c r="I5" i="100"/>
  <c r="I4" i="100"/>
  <c r="I3" i="100"/>
  <c r="E20" i="100" s="1"/>
  <c r="I5" i="104"/>
  <c r="I4" i="104"/>
  <c r="I3" i="104"/>
  <c r="E20" i="104" s="1"/>
  <c r="I5" i="108"/>
  <c r="I4" i="108"/>
  <c r="E20" i="108" s="1"/>
  <c r="I3" i="108"/>
  <c r="C20" i="119"/>
  <c r="E20" i="82"/>
  <c r="H22" i="82" s="1"/>
  <c r="H23" i="82" s="1"/>
  <c r="E20" i="86"/>
  <c r="H22" i="86" s="1"/>
  <c r="H23" i="86" s="1"/>
  <c r="E20" i="90"/>
  <c r="E3" i="90" s="1"/>
  <c r="E20" i="92"/>
  <c r="E3" i="92" s="1"/>
  <c r="E20" i="94"/>
  <c r="H22" i="94" s="1"/>
  <c r="H23" i="94" s="1"/>
  <c r="E20" i="96"/>
  <c r="E3" i="96" s="1"/>
  <c r="I5" i="112"/>
  <c r="I4" i="112"/>
  <c r="I3" i="112"/>
  <c r="E20" i="112" s="1"/>
  <c r="I5" i="120"/>
  <c r="I4" i="120"/>
  <c r="I3" i="120"/>
  <c r="E20" i="120" s="1"/>
  <c r="A20" i="99"/>
  <c r="C20" i="99" s="1"/>
  <c r="A20" i="103"/>
  <c r="C20" i="103" s="1"/>
  <c r="A20" i="107"/>
  <c r="C20" i="107" s="1"/>
  <c r="I5" i="110"/>
  <c r="E20" i="110" s="1"/>
  <c r="A20" i="111"/>
  <c r="C20" i="111" s="1"/>
  <c r="I5" i="114"/>
  <c r="A20" i="115"/>
  <c r="C20" i="115" s="1"/>
  <c r="C20" i="117"/>
  <c r="I5" i="118"/>
  <c r="E20" i="118" s="1"/>
  <c r="A20" i="119"/>
  <c r="I5" i="122"/>
  <c r="A20" i="123"/>
  <c r="C20" i="123" s="1"/>
  <c r="C20" i="125"/>
  <c r="E20" i="114"/>
  <c r="H22" i="114" s="1"/>
  <c r="H23" i="114" s="1"/>
  <c r="E20" i="122"/>
  <c r="E3" i="122" s="1"/>
  <c r="H22" i="122"/>
  <c r="H23" i="122" s="1"/>
  <c r="A20" i="109"/>
  <c r="C20" i="109" s="1"/>
  <c r="A20" i="113"/>
  <c r="C20" i="113" s="1"/>
  <c r="A20" i="117"/>
  <c r="A20" i="121"/>
  <c r="C20" i="121" s="1"/>
  <c r="A20" i="125"/>
  <c r="D52" i="6"/>
  <c r="E52" i="6"/>
  <c r="B52" i="6"/>
  <c r="D51" i="6"/>
  <c r="E51" i="6"/>
  <c r="B51" i="6"/>
  <c r="D50" i="6"/>
  <c r="E50" i="6"/>
  <c r="B50" i="6"/>
  <c r="D49" i="6"/>
  <c r="E49" i="6"/>
  <c r="B49" i="6"/>
  <c r="D48" i="6"/>
  <c r="E48" i="6"/>
  <c r="B48" i="6"/>
  <c r="D47" i="6"/>
  <c r="E47" i="6"/>
  <c r="B47" i="6"/>
  <c r="D46" i="6"/>
  <c r="E46" i="6"/>
  <c r="B46" i="6"/>
  <c r="D45" i="6"/>
  <c r="E45" i="6"/>
  <c r="B45" i="6"/>
  <c r="D44" i="6"/>
  <c r="E44" i="6"/>
  <c r="B44" i="6"/>
  <c r="D43" i="6"/>
  <c r="E43" i="6"/>
  <c r="B43" i="6"/>
  <c r="D42" i="6"/>
  <c r="E42" i="6"/>
  <c r="B42" i="6"/>
  <c r="D41" i="6"/>
  <c r="E41" i="6"/>
  <c r="B41" i="6"/>
  <c r="D40" i="6"/>
  <c r="E40" i="6"/>
  <c r="B40" i="6"/>
  <c r="D39" i="6"/>
  <c r="E39" i="6"/>
  <c r="B39" i="6"/>
  <c r="D38" i="6"/>
  <c r="E38" i="6"/>
  <c r="B38" i="6"/>
  <c r="D37" i="6"/>
  <c r="E37" i="6"/>
  <c r="B37" i="6"/>
  <c r="D36" i="6"/>
  <c r="E36" i="6"/>
  <c r="B36" i="6"/>
  <c r="D35" i="6"/>
  <c r="E35" i="6"/>
  <c r="B35" i="6"/>
  <c r="D34" i="6"/>
  <c r="E34" i="6"/>
  <c r="B34" i="6"/>
  <c r="D33" i="6"/>
  <c r="E33" i="6"/>
  <c r="B33" i="6"/>
  <c r="D32" i="6"/>
  <c r="E32" i="6"/>
  <c r="B32" i="6"/>
  <c r="D31" i="6"/>
  <c r="E31" i="6"/>
  <c r="B31" i="6"/>
  <c r="D30" i="6"/>
  <c r="E30" i="6"/>
  <c r="B30" i="6"/>
  <c r="D29" i="6"/>
  <c r="E29" i="6"/>
  <c r="B29" i="6"/>
  <c r="D28" i="6"/>
  <c r="E28" i="6"/>
  <c r="B28" i="6"/>
  <c r="D27" i="6"/>
  <c r="E27" i="6"/>
  <c r="B27" i="6"/>
  <c r="D26" i="6"/>
  <c r="E26" i="6"/>
  <c r="B26" i="6"/>
  <c r="D25" i="6"/>
  <c r="E25" i="6"/>
  <c r="B25" i="6"/>
  <c r="D24" i="6"/>
  <c r="E24" i="6"/>
  <c r="B24" i="6"/>
  <c r="D23" i="6"/>
  <c r="E23" i="6"/>
  <c r="B23" i="6"/>
  <c r="D22" i="6"/>
  <c r="E22" i="6"/>
  <c r="B22" i="6"/>
  <c r="D21" i="6"/>
  <c r="E21" i="6"/>
  <c r="B21" i="6"/>
  <c r="D20" i="6"/>
  <c r="E20" i="6"/>
  <c r="B20" i="6"/>
  <c r="D19" i="6"/>
  <c r="E19" i="6"/>
  <c r="B19" i="6"/>
  <c r="D18" i="6"/>
  <c r="E18" i="6"/>
  <c r="B18" i="6"/>
  <c r="D17" i="6"/>
  <c r="E17" i="6"/>
  <c r="B17" i="6"/>
  <c r="D16" i="6"/>
  <c r="E16" i="6"/>
  <c r="B16" i="6"/>
  <c r="D15" i="6"/>
  <c r="E15" i="6"/>
  <c r="B15" i="6"/>
  <c r="D14" i="6"/>
  <c r="E14" i="6"/>
  <c r="B14" i="6"/>
  <c r="D13" i="6"/>
  <c r="E13" i="6"/>
  <c r="B13" i="6"/>
  <c r="D12" i="6"/>
  <c r="E12" i="6"/>
  <c r="B12" i="6"/>
  <c r="D11" i="6"/>
  <c r="E11" i="6"/>
  <c r="B11" i="6"/>
  <c r="D10" i="6"/>
  <c r="E10" i="6"/>
  <c r="B10" i="6"/>
  <c r="D9" i="6"/>
  <c r="E9" i="6"/>
  <c r="B9" i="6"/>
  <c r="D8" i="6"/>
  <c r="E8" i="6"/>
  <c r="B8" i="6"/>
  <c r="D7" i="6"/>
  <c r="E7" i="6"/>
  <c r="B7" i="6"/>
  <c r="D6" i="6"/>
  <c r="E6" i="6"/>
  <c r="B6" i="6"/>
  <c r="D5" i="6"/>
  <c r="E5" i="6"/>
  <c r="B5" i="6"/>
  <c r="D4" i="6"/>
  <c r="E4" i="6"/>
  <c r="B4" i="6"/>
  <c r="D3" i="6"/>
  <c r="E3" i="6"/>
  <c r="C52" i="5"/>
  <c r="D52" i="5"/>
  <c r="B52" i="5"/>
  <c r="C51" i="5"/>
  <c r="D51" i="5"/>
  <c r="B51" i="5"/>
  <c r="C50" i="5"/>
  <c r="D50" i="5"/>
  <c r="B50" i="5"/>
  <c r="C49" i="5"/>
  <c r="D49" i="5"/>
  <c r="B49" i="5"/>
  <c r="C48" i="5"/>
  <c r="D48" i="5"/>
  <c r="B48" i="5"/>
  <c r="C47" i="5"/>
  <c r="D47" i="5"/>
  <c r="B47" i="5"/>
  <c r="C46" i="5"/>
  <c r="D46" i="5"/>
  <c r="B46" i="5"/>
  <c r="C45" i="5"/>
  <c r="D45" i="5"/>
  <c r="B45" i="5"/>
  <c r="C44" i="5"/>
  <c r="D44" i="5"/>
  <c r="B44" i="5"/>
  <c r="C43" i="5"/>
  <c r="D43" i="5"/>
  <c r="B43" i="5"/>
  <c r="C42" i="5"/>
  <c r="D42" i="5"/>
  <c r="B42" i="5"/>
  <c r="C41" i="5"/>
  <c r="D41" i="5"/>
  <c r="B41" i="5"/>
  <c r="C40" i="5"/>
  <c r="D40" i="5"/>
  <c r="B40" i="5"/>
  <c r="C39" i="5"/>
  <c r="D39" i="5"/>
  <c r="B39" i="5"/>
  <c r="C38" i="5"/>
  <c r="D38" i="5"/>
  <c r="B38" i="5"/>
  <c r="C37" i="5"/>
  <c r="D37" i="5"/>
  <c r="B37" i="5"/>
  <c r="C36" i="5"/>
  <c r="D36" i="5"/>
  <c r="B36" i="5"/>
  <c r="C35" i="5"/>
  <c r="D35" i="5"/>
  <c r="B35" i="5"/>
  <c r="C34" i="5"/>
  <c r="D34" i="5"/>
  <c r="B34" i="5"/>
  <c r="C33" i="5"/>
  <c r="D33" i="5"/>
  <c r="B33" i="5"/>
  <c r="C32" i="5"/>
  <c r="D32" i="5"/>
  <c r="B32" i="5"/>
  <c r="C31" i="5"/>
  <c r="D31" i="5"/>
  <c r="B31" i="5"/>
  <c r="C30" i="5"/>
  <c r="D30" i="5"/>
  <c r="B30" i="5"/>
  <c r="C29" i="5"/>
  <c r="D29" i="5"/>
  <c r="B29" i="5"/>
  <c r="C28" i="5"/>
  <c r="D28" i="5"/>
  <c r="B28" i="5"/>
  <c r="C27" i="5"/>
  <c r="D27" i="5"/>
  <c r="B27" i="5"/>
  <c r="C26" i="5"/>
  <c r="D26" i="5"/>
  <c r="B26" i="5"/>
  <c r="C25" i="5"/>
  <c r="D25" i="5"/>
  <c r="B25" i="5"/>
  <c r="C24" i="5"/>
  <c r="D24" i="5"/>
  <c r="B24" i="5"/>
  <c r="C23" i="5"/>
  <c r="D23" i="5"/>
  <c r="B23" i="5"/>
  <c r="C22" i="5"/>
  <c r="D22" i="5"/>
  <c r="B22" i="5"/>
  <c r="C21" i="5"/>
  <c r="D21" i="5"/>
  <c r="B21" i="5"/>
  <c r="C20" i="5"/>
  <c r="D20" i="5"/>
  <c r="B20" i="5"/>
  <c r="C19" i="5"/>
  <c r="D19" i="5"/>
  <c r="B19" i="5"/>
  <c r="C18" i="5"/>
  <c r="D18" i="5"/>
  <c r="B18" i="5"/>
  <c r="C17" i="5"/>
  <c r="D17" i="5"/>
  <c r="B17" i="5"/>
  <c r="C16" i="5"/>
  <c r="D16" i="5"/>
  <c r="B16" i="5"/>
  <c r="C15" i="5"/>
  <c r="D15" i="5"/>
  <c r="B15" i="5"/>
  <c r="C14" i="5"/>
  <c r="D14" i="5"/>
  <c r="B14" i="5"/>
  <c r="C13" i="5"/>
  <c r="D13" i="5"/>
  <c r="B13" i="5"/>
  <c r="C12" i="5"/>
  <c r="D12" i="5"/>
  <c r="B12" i="5"/>
  <c r="C11" i="5"/>
  <c r="D11" i="5"/>
  <c r="B11" i="5"/>
  <c r="C10" i="5"/>
  <c r="D10" i="5"/>
  <c r="B10" i="5"/>
  <c r="C9" i="5"/>
  <c r="D9" i="5"/>
  <c r="B9" i="5"/>
  <c r="C8" i="5"/>
  <c r="D8" i="5"/>
  <c r="B8" i="5"/>
  <c r="C7" i="5"/>
  <c r="D7" i="5"/>
  <c r="B7" i="5"/>
  <c r="C6" i="5"/>
  <c r="D6" i="5"/>
  <c r="B6" i="5"/>
  <c r="C5" i="5"/>
  <c r="D5" i="5"/>
  <c r="B5" i="5"/>
  <c r="C4" i="5"/>
  <c r="D4" i="5"/>
  <c r="B4" i="5"/>
  <c r="C3" i="5"/>
  <c r="D3" i="5"/>
  <c r="H20" i="75"/>
  <c r="G20" i="75" s="1"/>
  <c r="C8" i="6" s="1"/>
  <c r="F20" i="75"/>
  <c r="D20" i="75"/>
  <c r="B20" i="75"/>
  <c r="I17" i="75"/>
  <c r="I16" i="75"/>
  <c r="I15" i="75"/>
  <c r="I14" i="75"/>
  <c r="I13" i="75"/>
  <c r="I12" i="75"/>
  <c r="I11" i="75"/>
  <c r="I10" i="75"/>
  <c r="I9" i="75"/>
  <c r="I8" i="75"/>
  <c r="I7" i="75"/>
  <c r="I6" i="75"/>
  <c r="F3" i="75"/>
  <c r="F8" i="6" s="1"/>
  <c r="H20" i="74"/>
  <c r="G20" i="74" s="1"/>
  <c r="C7" i="6" s="1"/>
  <c r="F20" i="74"/>
  <c r="D20" i="74"/>
  <c r="B20" i="74"/>
  <c r="I17" i="74"/>
  <c r="I16" i="74"/>
  <c r="I15" i="74"/>
  <c r="I14" i="74"/>
  <c r="I13" i="74"/>
  <c r="I12" i="74"/>
  <c r="I11" i="74"/>
  <c r="I10" i="74"/>
  <c r="I9" i="74"/>
  <c r="I8" i="74"/>
  <c r="F3" i="74"/>
  <c r="F7" i="6" s="1"/>
  <c r="H20" i="73"/>
  <c r="G20" i="73" s="1"/>
  <c r="C6" i="6" s="1"/>
  <c r="F20" i="73"/>
  <c r="D20" i="73"/>
  <c r="B20" i="73"/>
  <c r="I17" i="73"/>
  <c r="I16" i="73"/>
  <c r="I15" i="73"/>
  <c r="I14" i="73"/>
  <c r="I13" i="73"/>
  <c r="I12" i="73"/>
  <c r="I11" i="73"/>
  <c r="I10" i="73"/>
  <c r="I9" i="73"/>
  <c r="I8" i="73"/>
  <c r="I7" i="73"/>
  <c r="I6" i="73"/>
  <c r="F3" i="73"/>
  <c r="F6" i="6" s="1"/>
  <c r="H20" i="72"/>
  <c r="G20" i="72" s="1"/>
  <c r="C5" i="6" s="1"/>
  <c r="F20" i="72"/>
  <c r="D20" i="72"/>
  <c r="B20" i="72"/>
  <c r="I17" i="72"/>
  <c r="I16" i="72"/>
  <c r="I15" i="72"/>
  <c r="I14" i="72"/>
  <c r="I13" i="72"/>
  <c r="I12" i="72"/>
  <c r="I11" i="72"/>
  <c r="I10" i="72"/>
  <c r="I9" i="72"/>
  <c r="I8" i="72"/>
  <c r="I7" i="72"/>
  <c r="F3" i="72"/>
  <c r="F5" i="6" s="1"/>
  <c r="H20" i="71"/>
  <c r="G20" i="71" s="1"/>
  <c r="C4" i="6" s="1"/>
  <c r="F20" i="71"/>
  <c r="D20" i="71"/>
  <c r="B20" i="71"/>
  <c r="A20" i="71" s="1"/>
  <c r="I17" i="71"/>
  <c r="I16" i="71"/>
  <c r="I15" i="71"/>
  <c r="I14" i="71"/>
  <c r="I13" i="71"/>
  <c r="I12" i="71"/>
  <c r="I11" i="71"/>
  <c r="I10" i="71"/>
  <c r="I9" i="71"/>
  <c r="I8" i="71"/>
  <c r="F3" i="71"/>
  <c r="F4" i="6" s="1"/>
  <c r="H20" i="70"/>
  <c r="G20" i="70" s="1"/>
  <c r="C3" i="6" s="1"/>
  <c r="F20" i="70"/>
  <c r="D20" i="70"/>
  <c r="B20" i="70"/>
  <c r="I17" i="70"/>
  <c r="I16" i="70"/>
  <c r="I15" i="70"/>
  <c r="I14" i="70"/>
  <c r="I13" i="70"/>
  <c r="I12" i="70"/>
  <c r="I11" i="70"/>
  <c r="I10" i="70"/>
  <c r="I9" i="70"/>
  <c r="F3" i="70"/>
  <c r="F3" i="6" s="1"/>
  <c r="H20" i="69"/>
  <c r="G20" i="69" s="1"/>
  <c r="C40" i="6" s="1"/>
  <c r="F20" i="69"/>
  <c r="D20" i="69"/>
  <c r="B20" i="69"/>
  <c r="I17" i="69"/>
  <c r="I16" i="69"/>
  <c r="I15" i="69"/>
  <c r="I14" i="69"/>
  <c r="I13" i="69"/>
  <c r="I12" i="69"/>
  <c r="I11" i="69"/>
  <c r="I10" i="69"/>
  <c r="I9" i="69"/>
  <c r="I8" i="69"/>
  <c r="F3" i="69"/>
  <c r="F40" i="6" s="1"/>
  <c r="H20" i="68"/>
  <c r="G20" i="68" s="1"/>
  <c r="C39" i="6" s="1"/>
  <c r="F20" i="68"/>
  <c r="D20" i="68"/>
  <c r="B20" i="68"/>
  <c r="A20" i="68" s="1"/>
  <c r="I17" i="68"/>
  <c r="I16" i="68"/>
  <c r="I15" i="68"/>
  <c r="I14" i="68"/>
  <c r="I13" i="68"/>
  <c r="I12" i="68"/>
  <c r="F3" i="68"/>
  <c r="F39" i="6" s="1"/>
  <c r="H20" i="67"/>
  <c r="G20" i="67" s="1"/>
  <c r="C38" i="6" s="1"/>
  <c r="F20" i="67"/>
  <c r="D20" i="67"/>
  <c r="B20" i="67"/>
  <c r="I17" i="67"/>
  <c r="I16" i="67"/>
  <c r="I15" i="67"/>
  <c r="I14" i="67"/>
  <c r="I13" i="67"/>
  <c r="I12" i="67"/>
  <c r="I11" i="67"/>
  <c r="I10" i="67"/>
  <c r="I9" i="67"/>
  <c r="F3" i="67"/>
  <c r="F38" i="6" s="1"/>
  <c r="H20" i="66"/>
  <c r="G20" i="66" s="1"/>
  <c r="C37" i="6" s="1"/>
  <c r="F20" i="66"/>
  <c r="D20" i="66"/>
  <c r="B20" i="66"/>
  <c r="A20" i="66" s="1"/>
  <c r="I17" i="66"/>
  <c r="I16" i="66"/>
  <c r="I15" i="66"/>
  <c r="I14" i="66"/>
  <c r="I13" i="66"/>
  <c r="I12" i="66"/>
  <c r="I11" i="66"/>
  <c r="I10" i="66"/>
  <c r="I9" i="66"/>
  <c r="I8" i="66"/>
  <c r="I7" i="66"/>
  <c r="F3" i="66"/>
  <c r="F37" i="6" s="1"/>
  <c r="H20" i="65"/>
  <c r="G20" i="65" s="1"/>
  <c r="C36" i="6" s="1"/>
  <c r="F20" i="65"/>
  <c r="D20" i="65"/>
  <c r="B20" i="65"/>
  <c r="I17" i="65"/>
  <c r="I16" i="65"/>
  <c r="I15" i="65"/>
  <c r="I14" i="65"/>
  <c r="I13" i="65"/>
  <c r="F3" i="65"/>
  <c r="F36" i="6" s="1"/>
  <c r="H20" i="64"/>
  <c r="G20" i="64"/>
  <c r="C35" i="6" s="1"/>
  <c r="F20" i="64"/>
  <c r="D20" i="64"/>
  <c r="B20" i="64"/>
  <c r="A20" i="64" s="1"/>
  <c r="I17" i="64"/>
  <c r="I16" i="64"/>
  <c r="I15" i="64"/>
  <c r="I14" i="64"/>
  <c r="I13" i="64"/>
  <c r="I12" i="64"/>
  <c r="I11" i="64"/>
  <c r="I10" i="64"/>
  <c r="I9" i="64"/>
  <c r="I8" i="64"/>
  <c r="I7" i="64"/>
  <c r="F3" i="64"/>
  <c r="F35" i="6" s="1"/>
  <c r="H20" i="63"/>
  <c r="G20" i="63" s="1"/>
  <c r="C34" i="6" s="1"/>
  <c r="F20" i="63"/>
  <c r="D20" i="63"/>
  <c r="B20" i="63"/>
  <c r="I17" i="63"/>
  <c r="I16" i="63"/>
  <c r="I15" i="63"/>
  <c r="I14" i="63"/>
  <c r="I13" i="63"/>
  <c r="I12" i="63"/>
  <c r="I11" i="63"/>
  <c r="I10" i="63"/>
  <c r="I9" i="63"/>
  <c r="I8" i="63"/>
  <c r="I7" i="63"/>
  <c r="F3" i="63"/>
  <c r="F34" i="6" s="1"/>
  <c r="H20" i="62"/>
  <c r="G20" i="62" s="1"/>
  <c r="C33" i="6" s="1"/>
  <c r="F20" i="62"/>
  <c r="D20" i="62"/>
  <c r="B20" i="62"/>
  <c r="A20" i="62" s="1"/>
  <c r="I17" i="62"/>
  <c r="I16" i="62"/>
  <c r="I15" i="62"/>
  <c r="I14" i="62"/>
  <c r="I13" i="62"/>
  <c r="I12" i="62"/>
  <c r="I11" i="62"/>
  <c r="I10" i="62"/>
  <c r="I9" i="62"/>
  <c r="I8" i="62"/>
  <c r="I7" i="62"/>
  <c r="F3" i="62"/>
  <c r="F33" i="6" s="1"/>
  <c r="H20" i="61"/>
  <c r="G20" i="61" s="1"/>
  <c r="C32" i="6" s="1"/>
  <c r="F20" i="61"/>
  <c r="D20" i="61"/>
  <c r="B20" i="61"/>
  <c r="I17" i="61"/>
  <c r="I16" i="61"/>
  <c r="I15" i="61"/>
  <c r="I14" i="61"/>
  <c r="I13" i="61"/>
  <c r="I12" i="61"/>
  <c r="I11" i="61"/>
  <c r="I10" i="61"/>
  <c r="I9" i="61"/>
  <c r="F3" i="61"/>
  <c r="F32" i="6" s="1"/>
  <c r="H20" i="60"/>
  <c r="G20" i="60" s="1"/>
  <c r="C31" i="6" s="1"/>
  <c r="F20" i="60"/>
  <c r="D20" i="60"/>
  <c r="B20" i="60"/>
  <c r="A20" i="60" s="1"/>
  <c r="C20" i="60" s="1"/>
  <c r="I6" i="60" s="1"/>
  <c r="I17" i="60"/>
  <c r="I16" i="60"/>
  <c r="I15" i="60"/>
  <c r="I14" i="60"/>
  <c r="I13" i="60"/>
  <c r="I12" i="60"/>
  <c r="I11" i="60"/>
  <c r="I10" i="60"/>
  <c r="I9" i="60"/>
  <c r="I8" i="60"/>
  <c r="F3" i="60"/>
  <c r="F31" i="6" s="1"/>
  <c r="H20" i="59"/>
  <c r="G20" i="59" s="1"/>
  <c r="C30" i="6" s="1"/>
  <c r="F20" i="59"/>
  <c r="D20" i="59"/>
  <c r="B20" i="59"/>
  <c r="I17" i="59"/>
  <c r="I16" i="59"/>
  <c r="I15" i="59"/>
  <c r="I14" i="59"/>
  <c r="I13" i="59"/>
  <c r="I12" i="59"/>
  <c r="I11" i="59"/>
  <c r="I10" i="59"/>
  <c r="I9" i="59"/>
  <c r="F3" i="59"/>
  <c r="F30" i="6" s="1"/>
  <c r="H20" i="58"/>
  <c r="G20" i="58" s="1"/>
  <c r="C29" i="6" s="1"/>
  <c r="F20" i="58"/>
  <c r="D20" i="58"/>
  <c r="B20" i="58"/>
  <c r="I17" i="58"/>
  <c r="I16" i="58"/>
  <c r="I15" i="58"/>
  <c r="I14" i="58"/>
  <c r="I13" i="58"/>
  <c r="F3" i="58"/>
  <c r="F29" i="6" s="1"/>
  <c r="H20" i="57"/>
  <c r="G20" i="57" s="1"/>
  <c r="C28" i="6" s="1"/>
  <c r="F20" i="57"/>
  <c r="D20" i="57"/>
  <c r="B20" i="57"/>
  <c r="I17" i="57"/>
  <c r="I16" i="57"/>
  <c r="I15" i="57"/>
  <c r="I14" i="57"/>
  <c r="I13" i="57"/>
  <c r="I12" i="57"/>
  <c r="I11" i="57"/>
  <c r="I10" i="57"/>
  <c r="I9" i="57"/>
  <c r="F3" i="57"/>
  <c r="F28" i="6" s="1"/>
  <c r="H20" i="56"/>
  <c r="G20" i="56" s="1"/>
  <c r="C27" i="6" s="1"/>
  <c r="F20" i="56"/>
  <c r="D20" i="56"/>
  <c r="B20" i="56"/>
  <c r="A20" i="56" s="1"/>
  <c r="I17" i="56"/>
  <c r="I16" i="56"/>
  <c r="I15" i="56"/>
  <c r="I14" i="56"/>
  <c r="I13" i="56"/>
  <c r="I12" i="56"/>
  <c r="I11" i="56"/>
  <c r="I10" i="56"/>
  <c r="I9" i="56"/>
  <c r="F3" i="56"/>
  <c r="F27" i="6" s="1"/>
  <c r="H20" i="55"/>
  <c r="G20" i="55" s="1"/>
  <c r="C26" i="6" s="1"/>
  <c r="F20" i="55"/>
  <c r="D20" i="55"/>
  <c r="B20" i="55"/>
  <c r="I17" i="55"/>
  <c r="I16" i="55"/>
  <c r="I15" i="55"/>
  <c r="I14" i="55"/>
  <c r="I13" i="55"/>
  <c r="I12" i="55"/>
  <c r="F3" i="55"/>
  <c r="F26" i="6" s="1"/>
  <c r="H20" i="54"/>
  <c r="G20" i="54" s="1"/>
  <c r="C25" i="6" s="1"/>
  <c r="F20" i="54"/>
  <c r="D20" i="54"/>
  <c r="B20" i="54"/>
  <c r="I17" i="54"/>
  <c r="I16" i="54"/>
  <c r="I15" i="54"/>
  <c r="I14" i="54"/>
  <c r="I13" i="54"/>
  <c r="I12" i="54"/>
  <c r="I11" i="54"/>
  <c r="I10" i="54"/>
  <c r="I9" i="54"/>
  <c r="I8" i="54"/>
  <c r="I7" i="54"/>
  <c r="I6" i="54"/>
  <c r="F3" i="54"/>
  <c r="F25" i="6" s="1"/>
  <c r="H20" i="53"/>
  <c r="G20" i="53" s="1"/>
  <c r="C24" i="6" s="1"/>
  <c r="F20" i="53"/>
  <c r="D20" i="53"/>
  <c r="B20" i="53"/>
  <c r="I17" i="53"/>
  <c r="I16" i="53"/>
  <c r="I15" i="53"/>
  <c r="I14" i="53"/>
  <c r="I13" i="53"/>
  <c r="I12" i="53"/>
  <c r="I11" i="53"/>
  <c r="I10" i="53"/>
  <c r="I9" i="53"/>
  <c r="I8" i="53"/>
  <c r="I7" i="53"/>
  <c r="F3" i="53"/>
  <c r="F24" i="6" s="1"/>
  <c r="H20" i="52"/>
  <c r="G20" i="52" s="1"/>
  <c r="C23" i="6" s="1"/>
  <c r="F20" i="52"/>
  <c r="D20" i="52"/>
  <c r="B20" i="52"/>
  <c r="I17" i="52"/>
  <c r="I16" i="52"/>
  <c r="I15" i="52"/>
  <c r="I14" i="52"/>
  <c r="I13" i="52"/>
  <c r="I12" i="52"/>
  <c r="I11" i="52"/>
  <c r="F3" i="52"/>
  <c r="F23" i="6" s="1"/>
  <c r="H20" i="51"/>
  <c r="G20" i="51" s="1"/>
  <c r="C22" i="6" s="1"/>
  <c r="F20" i="51"/>
  <c r="D20" i="51"/>
  <c r="B20" i="51"/>
  <c r="I17" i="51"/>
  <c r="I16" i="51"/>
  <c r="I15" i="51"/>
  <c r="I14" i="51"/>
  <c r="I13" i="51"/>
  <c r="I12" i="51"/>
  <c r="I11" i="51"/>
  <c r="F3" i="51"/>
  <c r="F22" i="6" s="1"/>
  <c r="H20" i="50"/>
  <c r="G20" i="50" s="1"/>
  <c r="C21" i="6" s="1"/>
  <c r="F20" i="50"/>
  <c r="D20" i="50"/>
  <c r="B20" i="50"/>
  <c r="I17" i="50"/>
  <c r="I16" i="50"/>
  <c r="I15" i="50"/>
  <c r="I14" i="50"/>
  <c r="I13" i="50"/>
  <c r="I12" i="50"/>
  <c r="F3" i="50"/>
  <c r="F21" i="6" s="1"/>
  <c r="H20" i="49"/>
  <c r="G20" i="49" s="1"/>
  <c r="C20" i="6" s="1"/>
  <c r="F20" i="49"/>
  <c r="D20" i="49"/>
  <c r="B20" i="49"/>
  <c r="I17" i="49"/>
  <c r="I16" i="49"/>
  <c r="I15" i="49"/>
  <c r="I14" i="49"/>
  <c r="I13" i="49"/>
  <c r="I12" i="49"/>
  <c r="I11" i="49"/>
  <c r="I10" i="49"/>
  <c r="I9" i="49"/>
  <c r="I8" i="49"/>
  <c r="I7" i="49"/>
  <c r="I6" i="49"/>
  <c r="F3" i="49"/>
  <c r="F20" i="6" s="1"/>
  <c r="H20" i="48"/>
  <c r="G20" i="48" s="1"/>
  <c r="C19" i="6" s="1"/>
  <c r="F20" i="48"/>
  <c r="D20" i="48"/>
  <c r="B20" i="48"/>
  <c r="I17" i="48"/>
  <c r="I16" i="48"/>
  <c r="I15" i="48"/>
  <c r="I14" i="48"/>
  <c r="I13" i="48"/>
  <c r="I12" i="48"/>
  <c r="I11" i="48"/>
  <c r="I10" i="48"/>
  <c r="I9" i="48"/>
  <c r="I8" i="48"/>
  <c r="F3" i="48"/>
  <c r="F19" i="6" s="1"/>
  <c r="H20" i="47"/>
  <c r="G20" i="47" s="1"/>
  <c r="C18" i="6" s="1"/>
  <c r="F20" i="47"/>
  <c r="D20" i="47"/>
  <c r="B20" i="47"/>
  <c r="I17" i="47"/>
  <c r="I16" i="47"/>
  <c r="I15" i="47"/>
  <c r="I14" i="47"/>
  <c r="I13" i="47"/>
  <c r="I12" i="47"/>
  <c r="I11" i="47"/>
  <c r="I10" i="47"/>
  <c r="I9" i="47"/>
  <c r="F3" i="47"/>
  <c r="F18" i="6" s="1"/>
  <c r="H20" i="46"/>
  <c r="G20" i="46" s="1"/>
  <c r="C17" i="6" s="1"/>
  <c r="F20" i="46"/>
  <c r="D20" i="46"/>
  <c r="B20" i="46"/>
  <c r="I17" i="46"/>
  <c r="I16" i="46"/>
  <c r="I15" i="46"/>
  <c r="I14" i="46"/>
  <c r="I13" i="46"/>
  <c r="I12" i="46"/>
  <c r="I11" i="46"/>
  <c r="I10" i="46"/>
  <c r="I9" i="46"/>
  <c r="I8" i="46"/>
  <c r="I7" i="46"/>
  <c r="F3" i="46"/>
  <c r="F17" i="6" s="1"/>
  <c r="H20" i="45"/>
  <c r="G20" i="45" s="1"/>
  <c r="C16" i="6" s="1"/>
  <c r="F20" i="45"/>
  <c r="D20" i="45"/>
  <c r="B20" i="45"/>
  <c r="I17" i="45"/>
  <c r="I16" i="45"/>
  <c r="I15" i="45"/>
  <c r="I14" i="45"/>
  <c r="I13" i="45"/>
  <c r="I12" i="45"/>
  <c r="I11" i="45"/>
  <c r="I10" i="45"/>
  <c r="I9" i="45"/>
  <c r="I8" i="45"/>
  <c r="F3" i="45"/>
  <c r="F16" i="6" s="1"/>
  <c r="H20" i="44"/>
  <c r="G20" i="44" s="1"/>
  <c r="C15" i="6" s="1"/>
  <c r="F20" i="44"/>
  <c r="D20" i="44"/>
  <c r="B20" i="44"/>
  <c r="I17" i="44"/>
  <c r="I16" i="44"/>
  <c r="I15" i="44"/>
  <c r="I14" i="44"/>
  <c r="I13" i="44"/>
  <c r="I12" i="44"/>
  <c r="I11" i="44"/>
  <c r="I10" i="44"/>
  <c r="I9" i="44"/>
  <c r="I8" i="44"/>
  <c r="I7" i="44"/>
  <c r="I6" i="44"/>
  <c r="F3" i="44"/>
  <c r="F15" i="6" s="1"/>
  <c r="H20" i="43"/>
  <c r="G20" i="43" s="1"/>
  <c r="C14" i="6" s="1"/>
  <c r="F20" i="43"/>
  <c r="D20" i="43"/>
  <c r="B20" i="43"/>
  <c r="I17" i="43"/>
  <c r="I16" i="43"/>
  <c r="I15" i="43"/>
  <c r="I14" i="43"/>
  <c r="I13" i="43"/>
  <c r="I12" i="43"/>
  <c r="I11" i="43"/>
  <c r="I10" i="43"/>
  <c r="I9" i="43"/>
  <c r="I8" i="43"/>
  <c r="I7" i="43"/>
  <c r="F3" i="43"/>
  <c r="F14" i="6" s="1"/>
  <c r="H20" i="42"/>
  <c r="G20" i="42" s="1"/>
  <c r="C13" i="6" s="1"/>
  <c r="F20" i="42"/>
  <c r="D20" i="42"/>
  <c r="B20" i="42"/>
  <c r="I17" i="42"/>
  <c r="I16" i="42"/>
  <c r="I15" i="42"/>
  <c r="I14" i="42"/>
  <c r="I13" i="42"/>
  <c r="I12" i="42"/>
  <c r="I11" i="42"/>
  <c r="I10" i="42"/>
  <c r="I9" i="42"/>
  <c r="I8" i="42"/>
  <c r="I7" i="42"/>
  <c r="F3" i="42"/>
  <c r="F13" i="6" s="1"/>
  <c r="H20" i="41"/>
  <c r="G20" i="41"/>
  <c r="C12" i="6" s="1"/>
  <c r="F20" i="41"/>
  <c r="D20" i="41"/>
  <c r="B20" i="41"/>
  <c r="I17" i="41"/>
  <c r="I16" i="41"/>
  <c r="I15" i="41"/>
  <c r="I14" i="41"/>
  <c r="I13" i="41"/>
  <c r="I12" i="41"/>
  <c r="I11" i="41"/>
  <c r="I10" i="41"/>
  <c r="I9" i="41"/>
  <c r="I8" i="41"/>
  <c r="F3" i="41"/>
  <c r="F12" i="6" s="1"/>
  <c r="H20" i="40"/>
  <c r="G20" i="40" s="1"/>
  <c r="C11" i="6" s="1"/>
  <c r="F20" i="40"/>
  <c r="D20" i="40"/>
  <c r="B20" i="40"/>
  <c r="I17" i="40"/>
  <c r="I16" i="40"/>
  <c r="I15" i="40"/>
  <c r="I14" i="40"/>
  <c r="I13" i="40"/>
  <c r="I12" i="40"/>
  <c r="I11" i="40"/>
  <c r="I10" i="40"/>
  <c r="I9" i="40"/>
  <c r="F3" i="40"/>
  <c r="F11" i="6" s="1"/>
  <c r="H20" i="39"/>
  <c r="G20" i="39" s="1"/>
  <c r="C10" i="6" s="1"/>
  <c r="F20" i="39"/>
  <c r="D20" i="39"/>
  <c r="B20" i="39"/>
  <c r="A20" i="39" s="1"/>
  <c r="I17" i="39"/>
  <c r="I16" i="39"/>
  <c r="I15" i="39"/>
  <c r="I14" i="39"/>
  <c r="I13" i="39"/>
  <c r="I12" i="39"/>
  <c r="I11" i="39"/>
  <c r="I10" i="39"/>
  <c r="I9" i="39"/>
  <c r="I8" i="39"/>
  <c r="I7" i="39"/>
  <c r="F3" i="39"/>
  <c r="F10" i="6" s="1"/>
  <c r="H20" i="38"/>
  <c r="G20" i="38" s="1"/>
  <c r="C9" i="6" s="1"/>
  <c r="F20" i="38"/>
  <c r="D20" i="38"/>
  <c r="B20" i="38"/>
  <c r="I17" i="38"/>
  <c r="I16" i="38"/>
  <c r="I15" i="38"/>
  <c r="I14" i="38"/>
  <c r="I13" i="38"/>
  <c r="I12" i="38"/>
  <c r="I11" i="38"/>
  <c r="I10" i="38"/>
  <c r="I9" i="38"/>
  <c r="I8" i="38"/>
  <c r="I7" i="38"/>
  <c r="F3" i="38"/>
  <c r="F9" i="6" s="1"/>
  <c r="H20" i="33"/>
  <c r="G20" i="33" s="1"/>
  <c r="C52" i="6" s="1"/>
  <c r="F20" i="33"/>
  <c r="D20" i="33"/>
  <c r="B20" i="33"/>
  <c r="I17" i="33"/>
  <c r="I16" i="33"/>
  <c r="I15" i="33"/>
  <c r="I14" i="33"/>
  <c r="I13" i="33"/>
  <c r="I12" i="33"/>
  <c r="I11" i="33"/>
  <c r="I10" i="33"/>
  <c r="I9" i="33"/>
  <c r="I8" i="33"/>
  <c r="F3" i="33"/>
  <c r="F52" i="6" s="1"/>
  <c r="G52" i="6" s="1"/>
  <c r="H20" i="32"/>
  <c r="G20" i="32" s="1"/>
  <c r="C51" i="6" s="1"/>
  <c r="F20" i="32"/>
  <c r="D20" i="32"/>
  <c r="B20" i="32"/>
  <c r="A20" i="32" s="1"/>
  <c r="I17" i="32"/>
  <c r="I16" i="32"/>
  <c r="I15" i="32"/>
  <c r="I14" i="32"/>
  <c r="I13" i="32"/>
  <c r="I12" i="32"/>
  <c r="I11" i="32"/>
  <c r="I10" i="32"/>
  <c r="I9" i="32"/>
  <c r="I8" i="32"/>
  <c r="F3" i="32"/>
  <c r="F51" i="6" s="1"/>
  <c r="H20" i="31"/>
  <c r="G20" i="31" s="1"/>
  <c r="C50" i="6" s="1"/>
  <c r="F20" i="31"/>
  <c r="D20" i="31"/>
  <c r="B20" i="31"/>
  <c r="I17" i="31"/>
  <c r="I16" i="31"/>
  <c r="I15" i="31"/>
  <c r="I14" i="31"/>
  <c r="I13" i="31"/>
  <c r="I12" i="31"/>
  <c r="I11" i="31"/>
  <c r="I10" i="31"/>
  <c r="F3" i="31"/>
  <c r="F50" i="6" s="1"/>
  <c r="H20" i="30"/>
  <c r="G20" i="30" s="1"/>
  <c r="C49" i="6" s="1"/>
  <c r="F20" i="30"/>
  <c r="D20" i="30"/>
  <c r="B20" i="30"/>
  <c r="A20" i="30" s="1"/>
  <c r="C20" i="30" s="1"/>
  <c r="I17" i="30"/>
  <c r="I16" i="30"/>
  <c r="I15" i="30"/>
  <c r="I14" i="30"/>
  <c r="I13" i="30"/>
  <c r="I12" i="30"/>
  <c r="I11" i="30"/>
  <c r="I10" i="30"/>
  <c r="I9" i="30"/>
  <c r="I8" i="30"/>
  <c r="I7" i="30"/>
  <c r="I6" i="30"/>
  <c r="F3" i="30"/>
  <c r="F49" i="6" s="1"/>
  <c r="H20" i="29"/>
  <c r="G20" i="29" s="1"/>
  <c r="C48" i="6" s="1"/>
  <c r="F20" i="29"/>
  <c r="D20" i="29"/>
  <c r="B20" i="29"/>
  <c r="I17" i="29"/>
  <c r="I16" i="29"/>
  <c r="I15" i="29"/>
  <c r="I14" i="29"/>
  <c r="I13" i="29"/>
  <c r="I12" i="29"/>
  <c r="I11" i="29"/>
  <c r="F3" i="29"/>
  <c r="F48" i="6" s="1"/>
  <c r="H20" i="28"/>
  <c r="G20" i="28" s="1"/>
  <c r="C47" i="6" s="1"/>
  <c r="F20" i="28"/>
  <c r="D20" i="28"/>
  <c r="B20" i="28"/>
  <c r="A20" i="28" s="1"/>
  <c r="I17" i="28"/>
  <c r="I16" i="28"/>
  <c r="I15" i="28"/>
  <c r="I14" i="28"/>
  <c r="I13" i="28"/>
  <c r="I12" i="28"/>
  <c r="I11" i="28"/>
  <c r="I10" i="28"/>
  <c r="I9" i="28"/>
  <c r="I8" i="28"/>
  <c r="F3" i="28"/>
  <c r="F47" i="6" s="1"/>
  <c r="H20" i="27"/>
  <c r="G20" i="27" s="1"/>
  <c r="C46" i="6" s="1"/>
  <c r="F20" i="27"/>
  <c r="D20" i="27"/>
  <c r="B20" i="27"/>
  <c r="I17" i="27"/>
  <c r="I16" i="27"/>
  <c r="I15" i="27"/>
  <c r="I14" i="27"/>
  <c r="I13" i="27"/>
  <c r="I12" i="27"/>
  <c r="I11" i="27"/>
  <c r="I10" i="27"/>
  <c r="I9" i="27"/>
  <c r="I8" i="27"/>
  <c r="I7" i="27"/>
  <c r="F3" i="27"/>
  <c r="F46" i="6" s="1"/>
  <c r="H20" i="26"/>
  <c r="G20" i="26"/>
  <c r="C45" i="6" s="1"/>
  <c r="F20" i="26"/>
  <c r="D20" i="26"/>
  <c r="B20" i="26"/>
  <c r="A20" i="26" s="1"/>
  <c r="I17" i="26"/>
  <c r="I16" i="26"/>
  <c r="I15" i="26"/>
  <c r="I14" i="26"/>
  <c r="I13" i="26"/>
  <c r="I12" i="26"/>
  <c r="I11" i="26"/>
  <c r="I10" i="26"/>
  <c r="I9" i="26"/>
  <c r="I8" i="26"/>
  <c r="I7" i="26"/>
  <c r="F3" i="26"/>
  <c r="F45" i="6" s="1"/>
  <c r="H20" i="25"/>
  <c r="G20" i="25" s="1"/>
  <c r="C44" i="6" s="1"/>
  <c r="F20" i="25"/>
  <c r="D20" i="25"/>
  <c r="B20" i="25"/>
  <c r="I17" i="25"/>
  <c r="I16" i="25"/>
  <c r="I15" i="25"/>
  <c r="I14" i="25"/>
  <c r="I13" i="25"/>
  <c r="I12" i="25"/>
  <c r="I11" i="25"/>
  <c r="I10" i="25"/>
  <c r="I9" i="25"/>
  <c r="I8" i="25"/>
  <c r="I7" i="25"/>
  <c r="F3" i="25"/>
  <c r="F44" i="6" s="1"/>
  <c r="H20" i="24"/>
  <c r="G20" i="24" s="1"/>
  <c r="C43" i="6" s="1"/>
  <c r="F20" i="24"/>
  <c r="D20" i="24"/>
  <c r="B20" i="24"/>
  <c r="A20" i="24" s="1"/>
  <c r="C20" i="24" s="1"/>
  <c r="I6" i="24" s="1"/>
  <c r="I17" i="24"/>
  <c r="I16" i="24"/>
  <c r="I15" i="24"/>
  <c r="I14" i="24"/>
  <c r="I13" i="24"/>
  <c r="I12" i="24"/>
  <c r="I11" i="24"/>
  <c r="I10" i="24"/>
  <c r="I9" i="24"/>
  <c r="I8" i="24"/>
  <c r="I7" i="24"/>
  <c r="F3" i="24"/>
  <c r="F43" i="6" s="1"/>
  <c r="H20" i="23"/>
  <c r="G20" i="23" s="1"/>
  <c r="C42" i="6" s="1"/>
  <c r="F20" i="23"/>
  <c r="D20" i="23"/>
  <c r="B20" i="23"/>
  <c r="I17" i="23"/>
  <c r="I16" i="23"/>
  <c r="I15" i="23"/>
  <c r="I14" i="23"/>
  <c r="I13" i="23"/>
  <c r="I12" i="23"/>
  <c r="I11" i="23"/>
  <c r="I10" i="23"/>
  <c r="I9" i="23"/>
  <c r="F3" i="23"/>
  <c r="F42" i="6" s="1"/>
  <c r="H20" i="22"/>
  <c r="G20" i="22" s="1"/>
  <c r="C41" i="6" s="1"/>
  <c r="F20" i="22"/>
  <c r="D20" i="22"/>
  <c r="B20" i="22"/>
  <c r="A20" i="22" s="1"/>
  <c r="I17" i="22"/>
  <c r="I16" i="22"/>
  <c r="I15" i="22"/>
  <c r="I14" i="22"/>
  <c r="I13" i="22"/>
  <c r="I12" i="22"/>
  <c r="I11" i="22"/>
  <c r="I10" i="22"/>
  <c r="I9" i="22"/>
  <c r="F3" i="22"/>
  <c r="F41" i="6" s="1"/>
  <c r="I10" i="81" l="1"/>
  <c r="I9" i="81"/>
  <c r="I7" i="81"/>
  <c r="I6" i="81"/>
  <c r="I8" i="81"/>
  <c r="I11" i="81"/>
  <c r="I7" i="79"/>
  <c r="I6" i="79"/>
  <c r="I7" i="78"/>
  <c r="I6" i="78"/>
  <c r="I4" i="78"/>
  <c r="E20" i="78" s="1"/>
  <c r="E3" i="78" s="1"/>
  <c r="E55" i="5" s="1"/>
  <c r="F55" i="5" s="1"/>
  <c r="E20" i="76"/>
  <c r="H22" i="76" s="1"/>
  <c r="H23" i="76" s="1"/>
  <c r="C20" i="39"/>
  <c r="I6" i="39" s="1"/>
  <c r="C20" i="32"/>
  <c r="I7" i="32" s="1"/>
  <c r="C20" i="26"/>
  <c r="I4" i="26"/>
  <c r="C20" i="66"/>
  <c r="I6" i="66" s="1"/>
  <c r="C20" i="62"/>
  <c r="I10" i="77"/>
  <c r="I11" i="77"/>
  <c r="I8" i="77"/>
  <c r="I9" i="77"/>
  <c r="I6" i="77"/>
  <c r="I7" i="77"/>
  <c r="I3" i="30"/>
  <c r="I4" i="30"/>
  <c r="C20" i="28"/>
  <c r="C20" i="22"/>
  <c r="I8" i="22" s="1"/>
  <c r="C20" i="68"/>
  <c r="I9" i="68"/>
  <c r="I10" i="68"/>
  <c r="I8" i="68"/>
  <c r="I6" i="68"/>
  <c r="C20" i="64"/>
  <c r="I6" i="64" s="1"/>
  <c r="I7" i="60"/>
  <c r="C20" i="56"/>
  <c r="I8" i="56" s="1"/>
  <c r="C20" i="71"/>
  <c r="G36" i="6"/>
  <c r="G44" i="6"/>
  <c r="G31" i="6"/>
  <c r="A20" i="58"/>
  <c r="G16" i="6"/>
  <c r="G19" i="6"/>
  <c r="G18" i="6"/>
  <c r="G48" i="6"/>
  <c r="A20" i="41"/>
  <c r="E3" i="114"/>
  <c r="E3" i="82"/>
  <c r="G17" i="6"/>
  <c r="G20" i="6"/>
  <c r="G50" i="6"/>
  <c r="A20" i="72"/>
  <c r="C20" i="72" s="1"/>
  <c r="G32" i="6"/>
  <c r="G21" i="6"/>
  <c r="G46" i="6"/>
  <c r="I5" i="123"/>
  <c r="I4" i="123"/>
  <c r="I3" i="123"/>
  <c r="E20" i="123" s="1"/>
  <c r="E3" i="118"/>
  <c r="H22" i="118"/>
  <c r="H23" i="118" s="1"/>
  <c r="I4" i="103"/>
  <c r="I3" i="103"/>
  <c r="I5" i="103"/>
  <c r="E20" i="103" s="1"/>
  <c r="I3" i="87"/>
  <c r="I5" i="87"/>
  <c r="I4" i="87"/>
  <c r="E20" i="87"/>
  <c r="E3" i="87" s="1"/>
  <c r="I5" i="89"/>
  <c r="I4" i="89"/>
  <c r="I3" i="89"/>
  <c r="E20" i="89" s="1"/>
  <c r="I5" i="81"/>
  <c r="I4" i="81"/>
  <c r="I3" i="81"/>
  <c r="E20" i="81"/>
  <c r="H22" i="81" s="1"/>
  <c r="H23" i="81" s="1"/>
  <c r="H22" i="80"/>
  <c r="H23" i="80" s="1"/>
  <c r="E3" i="80"/>
  <c r="E57" i="5" s="1"/>
  <c r="F57" i="5" s="1"/>
  <c r="I3" i="113"/>
  <c r="I5" i="113"/>
  <c r="I4" i="113"/>
  <c r="E20" i="113"/>
  <c r="E3" i="113" s="1"/>
  <c r="I5" i="111"/>
  <c r="I4" i="111"/>
  <c r="I3" i="111"/>
  <c r="E20" i="111" s="1"/>
  <c r="I4" i="99"/>
  <c r="I3" i="99"/>
  <c r="I5" i="99"/>
  <c r="E20" i="99"/>
  <c r="H22" i="99" s="1"/>
  <c r="H23" i="99" s="1"/>
  <c r="E3" i="112"/>
  <c r="H22" i="112"/>
  <c r="H23" i="112" s="1"/>
  <c r="H22" i="108"/>
  <c r="H23" i="108" s="1"/>
  <c r="E3" i="108"/>
  <c r="I3" i="79"/>
  <c r="E20" i="79" s="1"/>
  <c r="I5" i="79"/>
  <c r="I4" i="79"/>
  <c r="E3" i="102"/>
  <c r="H22" i="102"/>
  <c r="H23" i="102" s="1"/>
  <c r="I5" i="109"/>
  <c r="I4" i="109"/>
  <c r="I3" i="109"/>
  <c r="E20" i="109" s="1"/>
  <c r="I5" i="115"/>
  <c r="I4" i="115"/>
  <c r="I3" i="115"/>
  <c r="E20" i="115"/>
  <c r="H22" i="115" s="1"/>
  <c r="H23" i="115" s="1"/>
  <c r="E3" i="110"/>
  <c r="H22" i="110"/>
  <c r="H23" i="110" s="1"/>
  <c r="E3" i="120"/>
  <c r="H22" i="120"/>
  <c r="H23" i="120" s="1"/>
  <c r="H22" i="100"/>
  <c r="H23" i="100" s="1"/>
  <c r="E3" i="100"/>
  <c r="I3" i="91"/>
  <c r="I5" i="91"/>
  <c r="I4" i="91"/>
  <c r="E20" i="91"/>
  <c r="E3" i="91" s="1"/>
  <c r="I3" i="83"/>
  <c r="E20" i="83" s="1"/>
  <c r="I5" i="83"/>
  <c r="I4" i="83"/>
  <c r="H22" i="116"/>
  <c r="H23" i="116" s="1"/>
  <c r="E3" i="116"/>
  <c r="I5" i="85"/>
  <c r="I4" i="85"/>
  <c r="I3" i="85"/>
  <c r="E20" i="85" s="1"/>
  <c r="I5" i="77"/>
  <c r="I4" i="77"/>
  <c r="I3" i="77"/>
  <c r="H22" i="84"/>
  <c r="H23" i="84" s="1"/>
  <c r="E3" i="84"/>
  <c r="I3" i="121"/>
  <c r="I5" i="121"/>
  <c r="I4" i="121"/>
  <c r="E20" i="121" s="1"/>
  <c r="I4" i="107"/>
  <c r="I3" i="107"/>
  <c r="I5" i="107"/>
  <c r="E20" i="107"/>
  <c r="H22" i="107" s="1"/>
  <c r="H23" i="107" s="1"/>
  <c r="H22" i="104"/>
  <c r="H23" i="104" s="1"/>
  <c r="E3" i="104"/>
  <c r="E3" i="124"/>
  <c r="H22" i="124"/>
  <c r="H23" i="124" s="1"/>
  <c r="H22" i="98"/>
  <c r="H23" i="98" s="1"/>
  <c r="E3" i="98"/>
  <c r="I3" i="117"/>
  <c r="I5" i="117"/>
  <c r="I4" i="117"/>
  <c r="I5" i="119"/>
  <c r="I4" i="119"/>
  <c r="I3" i="119"/>
  <c r="E3" i="94"/>
  <c r="I4" i="97"/>
  <c r="I5" i="97"/>
  <c r="I3" i="97"/>
  <c r="H22" i="90"/>
  <c r="H23" i="90" s="1"/>
  <c r="H22" i="96"/>
  <c r="H23" i="96" s="1"/>
  <c r="H22" i="92"/>
  <c r="H23" i="92" s="1"/>
  <c r="E3" i="86"/>
  <c r="H22" i="106"/>
  <c r="H23" i="106" s="1"/>
  <c r="I5" i="101"/>
  <c r="I4" i="101"/>
  <c r="I3" i="101"/>
  <c r="I4" i="95"/>
  <c r="I5" i="95"/>
  <c r="I3" i="95"/>
  <c r="E20" i="95" s="1"/>
  <c r="E3" i="95" s="1"/>
  <c r="H22" i="88"/>
  <c r="H23" i="88" s="1"/>
  <c r="I3" i="125"/>
  <c r="E20" i="125" s="1"/>
  <c r="I5" i="125"/>
  <c r="I4" i="125"/>
  <c r="I5" i="105"/>
  <c r="I4" i="105"/>
  <c r="I3" i="105"/>
  <c r="E20" i="105" s="1"/>
  <c r="H22" i="105" s="1"/>
  <c r="H23" i="105" s="1"/>
  <c r="E20" i="97"/>
  <c r="H22" i="97" s="1"/>
  <c r="H23" i="97" s="1"/>
  <c r="I4" i="93"/>
  <c r="I5" i="93"/>
  <c r="I3" i="93"/>
  <c r="E20" i="117"/>
  <c r="H22" i="117" s="1"/>
  <c r="H23" i="117" s="1"/>
  <c r="E20" i="101"/>
  <c r="H22" i="101" s="1"/>
  <c r="H23" i="101" s="1"/>
  <c r="G9" i="6"/>
  <c r="G33" i="6"/>
  <c r="G29" i="6"/>
  <c r="G43" i="6"/>
  <c r="G41" i="6"/>
  <c r="G39" i="6"/>
  <c r="G35" i="6"/>
  <c r="G22" i="6"/>
  <c r="G25" i="6"/>
  <c r="G26" i="6"/>
  <c r="G34" i="6"/>
  <c r="G38" i="6"/>
  <c r="G40" i="6"/>
  <c r="G42" i="6"/>
  <c r="G47" i="6"/>
  <c r="G49" i="6"/>
  <c r="G51" i="6"/>
  <c r="G5" i="6"/>
  <c r="G15" i="6"/>
  <c r="G23" i="6"/>
  <c r="G27" i="6"/>
  <c r="G30" i="6"/>
  <c r="G37" i="6"/>
  <c r="G45" i="6"/>
  <c r="G13" i="6"/>
  <c r="G4" i="6"/>
  <c r="G24" i="6"/>
  <c r="G11" i="6"/>
  <c r="G28" i="6"/>
  <c r="G7" i="6"/>
  <c r="G14" i="6"/>
  <c r="G12" i="6"/>
  <c r="G10" i="6"/>
  <c r="G8" i="6"/>
  <c r="G6" i="6"/>
  <c r="I3" i="71"/>
  <c r="E20" i="71" s="1"/>
  <c r="A20" i="73"/>
  <c r="C20" i="73" s="1"/>
  <c r="A20" i="75"/>
  <c r="C20" i="75" s="1"/>
  <c r="A20" i="70"/>
  <c r="C20" i="70" s="1"/>
  <c r="I8" i="70" s="1"/>
  <c r="A20" i="74"/>
  <c r="C20" i="74" s="1"/>
  <c r="I5" i="60"/>
  <c r="I4" i="60"/>
  <c r="I3" i="60"/>
  <c r="I5" i="68"/>
  <c r="I4" i="68"/>
  <c r="I3" i="68"/>
  <c r="E20" i="68" s="1"/>
  <c r="I5" i="39"/>
  <c r="I4" i="39"/>
  <c r="I3" i="39"/>
  <c r="I5" i="64"/>
  <c r="I4" i="64"/>
  <c r="I3" i="64"/>
  <c r="E20" i="64" s="1"/>
  <c r="A20" i="43"/>
  <c r="C20" i="43" s="1"/>
  <c r="I6" i="43" s="1"/>
  <c r="A20" i="47"/>
  <c r="C20" i="47" s="1"/>
  <c r="I8" i="47" s="1"/>
  <c r="A20" i="51"/>
  <c r="C20" i="51" s="1"/>
  <c r="I10" i="51" s="1"/>
  <c r="A20" i="55"/>
  <c r="C20" i="55" s="1"/>
  <c r="A20" i="59"/>
  <c r="C20" i="59" s="1"/>
  <c r="I8" i="59" s="1"/>
  <c r="A20" i="63"/>
  <c r="C20" i="63" s="1"/>
  <c r="I6" i="63" s="1"/>
  <c r="A20" i="67"/>
  <c r="C20" i="67" s="1"/>
  <c r="I8" i="67" s="1"/>
  <c r="A20" i="38"/>
  <c r="C20" i="38" s="1"/>
  <c r="I6" i="38" s="1"/>
  <c r="A20" i="42"/>
  <c r="C20" i="42" s="1"/>
  <c r="I6" i="42" s="1"/>
  <c r="A20" i="46"/>
  <c r="C20" i="46" s="1"/>
  <c r="I6" i="46" s="1"/>
  <c r="A20" i="50"/>
  <c r="C20" i="50" s="1"/>
  <c r="A20" i="54"/>
  <c r="C20" i="54" s="1"/>
  <c r="A20" i="45"/>
  <c r="C20" i="45" s="1"/>
  <c r="A20" i="49"/>
  <c r="C20" i="49" s="1"/>
  <c r="A20" i="53"/>
  <c r="C20" i="53" s="1"/>
  <c r="I6" i="53" s="1"/>
  <c r="A20" i="57"/>
  <c r="C20" i="57" s="1"/>
  <c r="I8" i="57" s="1"/>
  <c r="A20" i="61"/>
  <c r="C20" i="61" s="1"/>
  <c r="I8" i="61" s="1"/>
  <c r="A20" i="65"/>
  <c r="C20" i="65" s="1"/>
  <c r="I12" i="65" s="1"/>
  <c r="A20" i="69"/>
  <c r="C20" i="69" s="1"/>
  <c r="A20" i="40"/>
  <c r="C20" i="40" s="1"/>
  <c r="I8" i="40" s="1"/>
  <c r="A20" i="44"/>
  <c r="C20" i="44" s="1"/>
  <c r="A20" i="48"/>
  <c r="C20" i="48" s="1"/>
  <c r="A20" i="52"/>
  <c r="C20" i="52" s="1"/>
  <c r="I10" i="52" s="1"/>
  <c r="I5" i="24"/>
  <c r="I4" i="24"/>
  <c r="I3" i="24"/>
  <c r="I5" i="28"/>
  <c r="I5" i="22"/>
  <c r="A20" i="23"/>
  <c r="C20" i="23" s="1"/>
  <c r="I8" i="23" s="1"/>
  <c r="I5" i="26"/>
  <c r="A20" i="27"/>
  <c r="C20" i="27" s="1"/>
  <c r="I6" i="27" s="1"/>
  <c r="I5" i="30"/>
  <c r="A20" i="31"/>
  <c r="C20" i="31" s="1"/>
  <c r="A20" i="25"/>
  <c r="C20" i="25" s="1"/>
  <c r="I6" i="25" s="1"/>
  <c r="A20" i="29"/>
  <c r="C20" i="29" s="1"/>
  <c r="I10" i="29" s="1"/>
  <c r="A20" i="33"/>
  <c r="C20" i="33" s="1"/>
  <c r="G3" i="6"/>
  <c r="G59" i="6" l="1"/>
  <c r="H22" i="78"/>
  <c r="H23" i="78" s="1"/>
  <c r="E3" i="76"/>
  <c r="E53" i="5" s="1"/>
  <c r="F53" i="5" s="1"/>
  <c r="E20" i="39"/>
  <c r="E3" i="39" s="1"/>
  <c r="E10" i="5" s="1"/>
  <c r="F10" i="5" s="1"/>
  <c r="I5" i="72"/>
  <c r="I6" i="72"/>
  <c r="I6" i="33"/>
  <c r="I7" i="33"/>
  <c r="I3" i="32"/>
  <c r="E20" i="32" s="1"/>
  <c r="I5" i="32"/>
  <c r="I6" i="32"/>
  <c r="I4" i="32"/>
  <c r="I3" i="26"/>
  <c r="E20" i="26" s="1"/>
  <c r="I6" i="26"/>
  <c r="I6" i="67"/>
  <c r="I7" i="67"/>
  <c r="I5" i="66"/>
  <c r="I3" i="66"/>
  <c r="I4" i="66"/>
  <c r="I5" i="62"/>
  <c r="I6" i="62"/>
  <c r="E20" i="62" s="1"/>
  <c r="I3" i="62"/>
  <c r="I4" i="62"/>
  <c r="I6" i="59"/>
  <c r="I7" i="59"/>
  <c r="I6" i="57"/>
  <c r="I7" i="57"/>
  <c r="I6" i="56"/>
  <c r="I7" i="56"/>
  <c r="I3" i="56"/>
  <c r="I4" i="56"/>
  <c r="I5" i="56"/>
  <c r="I6" i="48"/>
  <c r="I7" i="48"/>
  <c r="I6" i="47"/>
  <c r="I7" i="47"/>
  <c r="I6" i="45"/>
  <c r="I7" i="45"/>
  <c r="E20" i="77"/>
  <c r="H22" i="77" s="1"/>
  <c r="H23" i="77" s="1"/>
  <c r="I8" i="31"/>
  <c r="I9" i="31"/>
  <c r="I6" i="31"/>
  <c r="I7" i="31"/>
  <c r="E20" i="30"/>
  <c r="E3" i="30" s="1"/>
  <c r="E49" i="5" s="1"/>
  <c r="F49" i="5" s="1"/>
  <c r="I8" i="29"/>
  <c r="I9" i="29"/>
  <c r="I6" i="29"/>
  <c r="I7" i="29"/>
  <c r="I6" i="28"/>
  <c r="I7" i="28"/>
  <c r="I3" i="28"/>
  <c r="E20" i="28" s="1"/>
  <c r="I4" i="28"/>
  <c r="E20" i="24"/>
  <c r="I6" i="23"/>
  <c r="I7" i="23"/>
  <c r="I6" i="22"/>
  <c r="I7" i="22"/>
  <c r="I3" i="22"/>
  <c r="I4" i="22"/>
  <c r="I6" i="69"/>
  <c r="I7" i="69"/>
  <c r="I7" i="68"/>
  <c r="I11" i="68"/>
  <c r="I10" i="65"/>
  <c r="I11" i="65"/>
  <c r="I8" i="65"/>
  <c r="I9" i="65"/>
  <c r="I6" i="65"/>
  <c r="I7" i="65"/>
  <c r="I6" i="61"/>
  <c r="I7" i="61"/>
  <c r="E20" i="60"/>
  <c r="C20" i="58"/>
  <c r="I10" i="55"/>
  <c r="I11" i="55"/>
  <c r="I8" i="55"/>
  <c r="I9" i="55"/>
  <c r="I6" i="55"/>
  <c r="I7" i="55"/>
  <c r="I8" i="52"/>
  <c r="I9" i="52"/>
  <c r="I6" i="52"/>
  <c r="I7" i="52"/>
  <c r="I8" i="51"/>
  <c r="I9" i="51"/>
  <c r="I6" i="51"/>
  <c r="I7" i="51"/>
  <c r="I10" i="50"/>
  <c r="I11" i="50"/>
  <c r="I8" i="50"/>
  <c r="I9" i="50"/>
  <c r="I6" i="50"/>
  <c r="I7" i="50"/>
  <c r="C20" i="41"/>
  <c r="I7" i="41" s="1"/>
  <c r="I6" i="40"/>
  <c r="I7" i="40"/>
  <c r="I4" i="72"/>
  <c r="I6" i="71"/>
  <c r="I7" i="71"/>
  <c r="I5" i="71"/>
  <c r="I4" i="71"/>
  <c r="I6" i="74"/>
  <c r="I7" i="74"/>
  <c r="I3" i="72"/>
  <c r="I6" i="70"/>
  <c r="I7" i="70"/>
  <c r="E3" i="107"/>
  <c r="H22" i="109"/>
  <c r="H23" i="109" s="1"/>
  <c r="E3" i="109"/>
  <c r="H22" i="111"/>
  <c r="H23" i="111" s="1"/>
  <c r="E3" i="111"/>
  <c r="H22" i="103"/>
  <c r="H23" i="103" s="1"/>
  <c r="E3" i="103"/>
  <c r="H22" i="125"/>
  <c r="H23" i="125" s="1"/>
  <c r="E3" i="125"/>
  <c r="E3" i="121"/>
  <c r="H22" i="121"/>
  <c r="H23" i="121" s="1"/>
  <c r="H22" i="83"/>
  <c r="H23" i="83" s="1"/>
  <c r="E3" i="83"/>
  <c r="H22" i="89"/>
  <c r="H23" i="89" s="1"/>
  <c r="E3" i="89"/>
  <c r="H22" i="123"/>
  <c r="H23" i="123" s="1"/>
  <c r="E3" i="123"/>
  <c r="H22" i="85"/>
  <c r="H23" i="85" s="1"/>
  <c r="E3" i="85"/>
  <c r="H22" i="79"/>
  <c r="H23" i="79" s="1"/>
  <c r="E3" i="79"/>
  <c r="E56" i="5" s="1"/>
  <c r="F56" i="5" s="1"/>
  <c r="E20" i="119"/>
  <c r="H22" i="91"/>
  <c r="H23" i="91" s="1"/>
  <c r="E3" i="115"/>
  <c r="H22" i="113"/>
  <c r="H23" i="113" s="1"/>
  <c r="E3" i="81"/>
  <c r="E58" i="5" s="1"/>
  <c r="F58" i="5" s="1"/>
  <c r="H22" i="87"/>
  <c r="H23" i="87" s="1"/>
  <c r="E3" i="105"/>
  <c r="H22" i="95"/>
  <c r="H23" i="95" s="1"/>
  <c r="E3" i="101"/>
  <c r="E3" i="97"/>
  <c r="E3" i="117"/>
  <c r="E20" i="93"/>
  <c r="E3" i="99"/>
  <c r="I5" i="73"/>
  <c r="I4" i="73"/>
  <c r="I3" i="73"/>
  <c r="E20" i="73" s="1"/>
  <c r="I3" i="75"/>
  <c r="E20" i="75" s="1"/>
  <c r="I5" i="75"/>
  <c r="I4" i="75"/>
  <c r="H22" i="71"/>
  <c r="H23" i="71" s="1"/>
  <c r="E3" i="71"/>
  <c r="E4" i="5" s="1"/>
  <c r="F4" i="5" s="1"/>
  <c r="I4" i="74"/>
  <c r="I5" i="74"/>
  <c r="I3" i="74"/>
  <c r="I4" i="70"/>
  <c r="I5" i="70"/>
  <c r="I3" i="70"/>
  <c r="I3" i="53"/>
  <c r="I5" i="53"/>
  <c r="I4" i="53"/>
  <c r="I5" i="51"/>
  <c r="I4" i="51"/>
  <c r="I3" i="51"/>
  <c r="I5" i="48"/>
  <c r="I4" i="48"/>
  <c r="I3" i="48"/>
  <c r="E20" i="48" s="1"/>
  <c r="I3" i="65"/>
  <c r="I5" i="65"/>
  <c r="I4" i="65"/>
  <c r="I3" i="49"/>
  <c r="I5" i="49"/>
  <c r="I4" i="49"/>
  <c r="I5" i="63"/>
  <c r="I4" i="63"/>
  <c r="E20" i="63" s="1"/>
  <c r="E3" i="63" s="1"/>
  <c r="E34" i="5" s="1"/>
  <c r="F34" i="5" s="1"/>
  <c r="I3" i="63"/>
  <c r="I5" i="47"/>
  <c r="I4" i="47"/>
  <c r="I3" i="47"/>
  <c r="H22" i="60"/>
  <c r="H23" i="60" s="1"/>
  <c r="E3" i="60"/>
  <c r="E31" i="5" s="1"/>
  <c r="F31" i="5" s="1"/>
  <c r="I3" i="69"/>
  <c r="E20" i="69" s="1"/>
  <c r="I5" i="69"/>
  <c r="I4" i="69"/>
  <c r="I4" i="42"/>
  <c r="I3" i="42"/>
  <c r="I5" i="42"/>
  <c r="I5" i="44"/>
  <c r="I4" i="44"/>
  <c r="I3" i="44"/>
  <c r="E20" i="44" s="1"/>
  <c r="I3" i="45"/>
  <c r="I5" i="45"/>
  <c r="I4" i="45"/>
  <c r="I4" i="50"/>
  <c r="I3" i="50"/>
  <c r="I5" i="50"/>
  <c r="I4" i="38"/>
  <c r="I3" i="38"/>
  <c r="I5" i="38"/>
  <c r="E3" i="68"/>
  <c r="E39" i="5" s="1"/>
  <c r="F39" i="5" s="1"/>
  <c r="H22" i="68"/>
  <c r="H23" i="68" s="1"/>
  <c r="I5" i="52"/>
  <c r="I4" i="52"/>
  <c r="I3" i="52"/>
  <c r="I5" i="40"/>
  <c r="I4" i="40"/>
  <c r="I3" i="40"/>
  <c r="I3" i="57"/>
  <c r="I5" i="57"/>
  <c r="I4" i="57"/>
  <c r="I4" i="46"/>
  <c r="I3" i="46"/>
  <c r="I5" i="46"/>
  <c r="I5" i="67"/>
  <c r="E20" i="67" s="1"/>
  <c r="E3" i="67" s="1"/>
  <c r="E38" i="5" s="1"/>
  <c r="F38" i="5" s="1"/>
  <c r="I4" i="67"/>
  <c r="I3" i="67"/>
  <c r="E3" i="64"/>
  <c r="E35" i="5" s="1"/>
  <c r="F35" i="5" s="1"/>
  <c r="H22" i="64"/>
  <c r="H23" i="64" s="1"/>
  <c r="I3" i="61"/>
  <c r="I5" i="61"/>
  <c r="I4" i="61"/>
  <c r="I4" i="54"/>
  <c r="I3" i="54"/>
  <c r="E20" i="54" s="1"/>
  <c r="I5" i="54"/>
  <c r="I5" i="43"/>
  <c r="I4" i="43"/>
  <c r="I3" i="43"/>
  <c r="I5" i="55"/>
  <c r="I4" i="55"/>
  <c r="I3" i="55"/>
  <c r="E20" i="55" s="1"/>
  <c r="I5" i="59"/>
  <c r="I4" i="59"/>
  <c r="I3" i="59"/>
  <c r="E3" i="32"/>
  <c r="E51" i="5" s="1"/>
  <c r="F51" i="5" s="1"/>
  <c r="H22" i="32"/>
  <c r="H23" i="32" s="1"/>
  <c r="I3" i="29"/>
  <c r="I5" i="29"/>
  <c r="E20" i="29" s="1"/>
  <c r="I4" i="29"/>
  <c r="I5" i="31"/>
  <c r="I4" i="31"/>
  <c r="I3" i="31"/>
  <c r="I3" i="33"/>
  <c r="I5" i="33"/>
  <c r="E20" i="33" s="1"/>
  <c r="I4" i="33"/>
  <c r="E3" i="28"/>
  <c r="E47" i="5" s="1"/>
  <c r="F47" i="5" s="1"/>
  <c r="H22" i="28"/>
  <c r="H23" i="28" s="1"/>
  <c r="H22" i="24"/>
  <c r="H23" i="24" s="1"/>
  <c r="E3" i="24"/>
  <c r="E43" i="5" s="1"/>
  <c r="F43" i="5" s="1"/>
  <c r="I5" i="25"/>
  <c r="I3" i="25"/>
  <c r="I4" i="25"/>
  <c r="E20" i="25"/>
  <c r="H22" i="25" s="1"/>
  <c r="H23" i="25" s="1"/>
  <c r="I5" i="27"/>
  <c r="I4" i="27"/>
  <c r="I3" i="27"/>
  <c r="I4" i="23"/>
  <c r="I5" i="23"/>
  <c r="I3" i="23"/>
  <c r="H22" i="39" l="1"/>
  <c r="H23" i="39" s="1"/>
  <c r="E20" i="38"/>
  <c r="E3" i="38" s="1"/>
  <c r="E9" i="5" s="1"/>
  <c r="F9" i="5" s="1"/>
  <c r="E20" i="72"/>
  <c r="H22" i="72" s="1"/>
  <c r="H23" i="72" s="1"/>
  <c r="E20" i="70"/>
  <c r="E3" i="70" s="1"/>
  <c r="E3" i="5" s="1"/>
  <c r="F3" i="5" s="1"/>
  <c r="E20" i="27"/>
  <c r="H22" i="27" s="1"/>
  <c r="H23" i="27" s="1"/>
  <c r="E3" i="26"/>
  <c r="E45" i="5" s="1"/>
  <c r="F45" i="5" s="1"/>
  <c r="H22" i="26"/>
  <c r="H23" i="26" s="1"/>
  <c r="E20" i="66"/>
  <c r="H22" i="66" s="1"/>
  <c r="H23" i="66" s="1"/>
  <c r="E3" i="62"/>
  <c r="E33" i="5" s="1"/>
  <c r="F33" i="5" s="1"/>
  <c r="H22" i="62"/>
  <c r="H23" i="62" s="1"/>
  <c r="E20" i="59"/>
  <c r="H22" i="59" s="1"/>
  <c r="H23" i="59" s="1"/>
  <c r="E20" i="57"/>
  <c r="E3" i="57" s="1"/>
  <c r="E28" i="5" s="1"/>
  <c r="F28" i="5" s="1"/>
  <c r="E20" i="56"/>
  <c r="E20" i="53"/>
  <c r="H22" i="53" s="1"/>
  <c r="H23" i="53" s="1"/>
  <c r="E20" i="49"/>
  <c r="H22" i="49" s="1"/>
  <c r="H23" i="49" s="1"/>
  <c r="E20" i="47"/>
  <c r="H22" i="47" s="1"/>
  <c r="H23" i="47" s="1"/>
  <c r="E20" i="46"/>
  <c r="E3" i="46" s="1"/>
  <c r="E17" i="5" s="1"/>
  <c r="F17" i="5" s="1"/>
  <c r="E20" i="45"/>
  <c r="H22" i="45" s="1"/>
  <c r="H23" i="45" s="1"/>
  <c r="E20" i="42"/>
  <c r="H22" i="42" s="1"/>
  <c r="H23" i="42" s="1"/>
  <c r="E3" i="77"/>
  <c r="E54" i="5" s="1"/>
  <c r="F54" i="5" s="1"/>
  <c r="E20" i="31"/>
  <c r="H22" i="30"/>
  <c r="H23" i="30" s="1"/>
  <c r="E20" i="23"/>
  <c r="E3" i="23" s="1"/>
  <c r="E42" i="5" s="1"/>
  <c r="F42" i="5" s="1"/>
  <c r="E20" i="22"/>
  <c r="E20" i="65"/>
  <c r="E20" i="61"/>
  <c r="H22" i="61" s="1"/>
  <c r="H23" i="61" s="1"/>
  <c r="I11" i="58"/>
  <c r="I12" i="58"/>
  <c r="I9" i="58"/>
  <c r="I10" i="58"/>
  <c r="I7" i="58"/>
  <c r="I8" i="58"/>
  <c r="I5" i="58"/>
  <c r="I6" i="58"/>
  <c r="I4" i="58"/>
  <c r="E20" i="58"/>
  <c r="E3" i="58" s="1"/>
  <c r="E29" i="5" s="1"/>
  <c r="F29" i="5" s="1"/>
  <c r="H22" i="58"/>
  <c r="H23" i="58" s="1"/>
  <c r="I3" i="58"/>
  <c r="E20" i="52"/>
  <c r="E3" i="52" s="1"/>
  <c r="E23" i="5" s="1"/>
  <c r="F23" i="5" s="1"/>
  <c r="E20" i="51"/>
  <c r="H22" i="51" s="1"/>
  <c r="H23" i="51" s="1"/>
  <c r="E20" i="50"/>
  <c r="H22" i="50" s="1"/>
  <c r="H23" i="50" s="1"/>
  <c r="I5" i="41"/>
  <c r="I6" i="41"/>
  <c r="I3" i="41"/>
  <c r="I4" i="41"/>
  <c r="E20" i="40"/>
  <c r="H22" i="40" s="1"/>
  <c r="H23" i="40" s="1"/>
  <c r="E20" i="74"/>
  <c r="H22" i="74" s="1"/>
  <c r="H23" i="74" s="1"/>
  <c r="E3" i="25"/>
  <c r="E44" i="5" s="1"/>
  <c r="F44" i="5" s="1"/>
  <c r="H22" i="93"/>
  <c r="H23" i="93" s="1"/>
  <c r="E3" i="93"/>
  <c r="H22" i="119"/>
  <c r="H23" i="119" s="1"/>
  <c r="E3" i="119"/>
  <c r="E3" i="73"/>
  <c r="E6" i="5" s="1"/>
  <c r="F6" i="5" s="1"/>
  <c r="H22" i="73"/>
  <c r="H23" i="73" s="1"/>
  <c r="H22" i="75"/>
  <c r="H23" i="75" s="1"/>
  <c r="E3" i="75"/>
  <c r="E8" i="5" s="1"/>
  <c r="F8" i="5" s="1"/>
  <c r="E3" i="69"/>
  <c r="E40" i="5" s="1"/>
  <c r="F40" i="5" s="1"/>
  <c r="H22" i="69"/>
  <c r="H23" i="69" s="1"/>
  <c r="H22" i="48"/>
  <c r="H23" i="48" s="1"/>
  <c r="E3" i="48"/>
  <c r="E19" i="5" s="1"/>
  <c r="F19" i="5" s="1"/>
  <c r="H22" i="55"/>
  <c r="H23" i="55" s="1"/>
  <c r="E3" i="55"/>
  <c r="E26" i="5" s="1"/>
  <c r="F26" i="5" s="1"/>
  <c r="E3" i="44"/>
  <c r="E15" i="5" s="1"/>
  <c r="F15" i="5" s="1"/>
  <c r="H22" i="44"/>
  <c r="H23" i="44" s="1"/>
  <c r="H22" i="54"/>
  <c r="H23" i="54" s="1"/>
  <c r="E3" i="54"/>
  <c r="E25" i="5" s="1"/>
  <c r="F25" i="5" s="1"/>
  <c r="E3" i="65"/>
  <c r="E36" i="5" s="1"/>
  <c r="F36" i="5" s="1"/>
  <c r="H22" i="65"/>
  <c r="H23" i="65" s="1"/>
  <c r="E20" i="43"/>
  <c r="H22" i="67"/>
  <c r="H23" i="67" s="1"/>
  <c r="H22" i="63"/>
  <c r="H23" i="63" s="1"/>
  <c r="E3" i="31"/>
  <c r="E50" i="5" s="1"/>
  <c r="F50" i="5" s="1"/>
  <c r="H22" i="31"/>
  <c r="H23" i="31" s="1"/>
  <c r="E3" i="29"/>
  <c r="E48" i="5" s="1"/>
  <c r="F48" i="5" s="1"/>
  <c r="H22" i="29"/>
  <c r="H23" i="29" s="1"/>
  <c r="E3" i="27"/>
  <c r="E46" i="5" s="1"/>
  <c r="F46" i="5" s="1"/>
  <c r="E3" i="33"/>
  <c r="E52" i="5" s="1"/>
  <c r="F52" i="5" s="1"/>
  <c r="H22" i="33"/>
  <c r="H23" i="33" s="1"/>
  <c r="F59" i="5" l="1"/>
  <c r="H22" i="38"/>
  <c r="H23" i="38" s="1"/>
  <c r="E3" i="72"/>
  <c r="E5" i="5" s="1"/>
  <c r="F5" i="5" s="1"/>
  <c r="H22" i="70"/>
  <c r="H23" i="70" s="1"/>
  <c r="E3" i="66"/>
  <c r="E37" i="5" s="1"/>
  <c r="F37" i="5" s="1"/>
  <c r="E3" i="59"/>
  <c r="E30" i="5" s="1"/>
  <c r="F30" i="5" s="1"/>
  <c r="H22" i="57"/>
  <c r="H23" i="57" s="1"/>
  <c r="E3" i="56"/>
  <c r="E27" i="5" s="1"/>
  <c r="F27" i="5" s="1"/>
  <c r="H22" i="56"/>
  <c r="H23" i="56" s="1"/>
  <c r="E3" i="53"/>
  <c r="E24" i="5" s="1"/>
  <c r="F24" i="5" s="1"/>
  <c r="E3" i="49"/>
  <c r="E20" i="5" s="1"/>
  <c r="F20" i="5" s="1"/>
  <c r="E3" i="47"/>
  <c r="E18" i="5" s="1"/>
  <c r="F18" i="5" s="1"/>
  <c r="H22" i="46"/>
  <c r="H23" i="46" s="1"/>
  <c r="E3" i="45"/>
  <c r="E16" i="5" s="1"/>
  <c r="F16" i="5" s="1"/>
  <c r="E3" i="42"/>
  <c r="E13" i="5" s="1"/>
  <c r="F13" i="5" s="1"/>
  <c r="H22" i="23"/>
  <c r="H23" i="23" s="1"/>
  <c r="H22" i="22"/>
  <c r="H23" i="22" s="1"/>
  <c r="E3" i="22"/>
  <c r="E41" i="5" s="1"/>
  <c r="F41" i="5" s="1"/>
  <c r="E3" i="61"/>
  <c r="E32" i="5" s="1"/>
  <c r="F32" i="5" s="1"/>
  <c r="H22" i="52"/>
  <c r="H23" i="52" s="1"/>
  <c r="E3" i="51"/>
  <c r="E22" i="5" s="1"/>
  <c r="F22" i="5" s="1"/>
  <c r="E3" i="50"/>
  <c r="E21" i="5" s="1"/>
  <c r="F21" i="5" s="1"/>
  <c r="E20" i="41"/>
  <c r="H22" i="41" s="1"/>
  <c r="H23" i="41" s="1"/>
  <c r="E3" i="40"/>
  <c r="E11" i="5" s="1"/>
  <c r="F11" i="5" s="1"/>
  <c r="E3" i="74"/>
  <c r="E7" i="5" s="1"/>
  <c r="F7" i="5" s="1"/>
  <c r="E3" i="43"/>
  <c r="E14" i="5" s="1"/>
  <c r="F14" i="5" s="1"/>
  <c r="H22" i="43"/>
  <c r="H23" i="43" s="1"/>
  <c r="B3" i="6"/>
  <c r="B3" i="5"/>
  <c r="E3" i="41" l="1"/>
  <c r="E12" i="5" s="1"/>
  <c r="F12" i="5" s="1"/>
</calcChain>
</file>

<file path=xl/sharedStrings.xml><?xml version="1.0" encoding="utf-8"?>
<sst xmlns="http://schemas.openxmlformats.org/spreadsheetml/2006/main" count="3026" uniqueCount="377">
  <si>
    <t>ITEM 1</t>
  </si>
  <si>
    <t>UNIDADE</t>
  </si>
  <si>
    <t>QUANT.</t>
  </si>
  <si>
    <t>FONTE DE PESQUISA</t>
  </si>
  <si>
    <t>PREÇOS</t>
  </si>
  <si>
    <t>COEF.</t>
  </si>
  <si>
    <t>MÉDIA</t>
  </si>
  <si>
    <t>MEDIANA</t>
  </si>
  <si>
    <t>VALOR TOTAL</t>
  </si>
  <si>
    <t>DESCARTE</t>
  </si>
  <si>
    <t>MÉDIA APÓS DESCARTE</t>
  </si>
  <si>
    <t>ESTIMATIVA DO ITEM</t>
  </si>
  <si>
    <t>Valor Unitário</t>
  </si>
  <si>
    <t>RESULTADO DA ESTIMATIVA</t>
  </si>
  <si>
    <t>Item</t>
  </si>
  <si>
    <t>Descrição</t>
  </si>
  <si>
    <t>Unidade de Fornecimento</t>
  </si>
  <si>
    <t>Quantidade</t>
  </si>
  <si>
    <t>Valor Total</t>
  </si>
  <si>
    <t>VALOR TOTAL ESTIMADO</t>
  </si>
  <si>
    <t>MENORES PREÇOS OFERTADOS</t>
  </si>
  <si>
    <t>VALOR TOTAL - MENORES PREÇOS OFERTADOS</t>
  </si>
  <si>
    <t>MATERIAL OU SERVIÇO</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</si>
  <si>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</si>
  <si>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</si>
  <si>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</si>
  <si>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</si>
  <si>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</si>
  <si>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</si>
  <si>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</si>
  <si>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PREÇO ESTIMADO</t>
  </si>
  <si>
    <t>MENOR PREÇO</t>
  </si>
  <si>
    <t>MENOR PREÇO UNITÁRIO COLETADO PARA O ITEM</t>
  </si>
  <si>
    <t>DESVIO PADRÃO</t>
  </si>
  <si>
    <t>QUANTIDADE DE PREÇOS COLETADOS</t>
  </si>
  <si>
    <t>VALOR UNITÁRIO ESTIMADO</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</si>
  <si>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</si>
  <si>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</si>
  <si>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</si>
  <si>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</si>
  <si>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</si>
  <si>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</si>
  <si>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</si>
  <si>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</si>
  <si>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</si>
  <si>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</si>
  <si>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</si>
  <si>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</si>
  <si>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</si>
  <si>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</si>
  <si>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</si>
  <si>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</si>
  <si>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</si>
  <si>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</si>
  <si>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</si>
  <si>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ITEM 21</t>
  </si>
  <si>
    <t>ITEM 22</t>
  </si>
  <si>
    <t>ITEM 23</t>
  </si>
  <si>
    <t>ITEM 24</t>
  </si>
  <si>
    <t>ITEM 25</t>
  </si>
  <si>
    <t>ITEM 26</t>
  </si>
  <si>
    <t>ITEM 27</t>
  </si>
  <si>
    <t>ITEM 28</t>
  </si>
  <si>
    <t>ITEM 29</t>
  </si>
  <si>
    <t>ITEM 30</t>
  </si>
  <si>
    <t>ITEM 31</t>
  </si>
  <si>
    <t>ITEM 32</t>
  </si>
  <si>
    <t>ITEM 33</t>
  </si>
  <si>
    <t>ITEM 34</t>
  </si>
  <si>
    <t>ITEM 35</t>
  </si>
  <si>
    <t>ITEM 36</t>
  </si>
  <si>
    <t>ITEM 37</t>
  </si>
  <si>
    <t>ITEM 38</t>
  </si>
  <si>
    <t>ITEM 39</t>
  </si>
  <si>
    <t>ITEM 40</t>
  </si>
  <si>
    <t>ITEM 41</t>
  </si>
  <si>
    <t>ITEM 42</t>
  </si>
  <si>
    <t>ITEM 43</t>
  </si>
  <si>
    <t>ITEM 44</t>
  </si>
  <si>
    <t>ITEM 45</t>
  </si>
  <si>
    <t>ITEM 46</t>
  </si>
  <si>
    <t>ITEM 47</t>
  </si>
  <si>
    <t>ITEM 48</t>
  </si>
  <si>
    <t>ITEM 49</t>
  </si>
  <si>
    <t>ITEM 50</t>
  </si>
  <si>
    <t>ITEM 51</t>
  </si>
  <si>
    <t>ITEM 52</t>
  </si>
  <si>
    <t>ITEM 53</t>
  </si>
  <si>
    <t>ITEM 54</t>
  </si>
  <si>
    <t>ITEM 55</t>
  </si>
  <si>
    <t>ITEM 56</t>
  </si>
  <si>
    <t>ITEM 57</t>
  </si>
  <si>
    <t>ITEM 58</t>
  </si>
  <si>
    <t>ITEM 59</t>
  </si>
  <si>
    <t>ITEM 60</t>
  </si>
  <si>
    <t>ITEM 61</t>
  </si>
  <si>
    <t>ITEM 62</t>
  </si>
  <si>
    <t>ITEM 63</t>
  </si>
  <si>
    <t>ITEM 64</t>
  </si>
  <si>
    <t>ITEM 65</t>
  </si>
  <si>
    <t>ITEM 66</t>
  </si>
  <si>
    <t>ITEM 67</t>
  </si>
  <si>
    <t>ITEM 68</t>
  </si>
  <si>
    <t>ITEM 69</t>
  </si>
  <si>
    <t>ITEM 70</t>
  </si>
  <si>
    <t>ITEM 71</t>
  </si>
  <si>
    <t>ITEM 72</t>
  </si>
  <si>
    <t>ITEM 73</t>
  </si>
  <si>
    <t>ITEM 74</t>
  </si>
  <si>
    <t>ITEM 75</t>
  </si>
  <si>
    <t>ITEM 76</t>
  </si>
  <si>
    <t>ITEM 77</t>
  </si>
  <si>
    <t>ITEM 78</t>
  </si>
  <si>
    <t>ITEM 79</t>
  </si>
  <si>
    <t>ITEM 80</t>
  </si>
  <si>
    <t>ITEM 81</t>
  </si>
  <si>
    <t>ITEM 82</t>
  </si>
  <si>
    <t>ITEM 83</t>
  </si>
  <si>
    <t>ITEM 84</t>
  </si>
  <si>
    <t>ITEM 85</t>
  </si>
  <si>
    <t>ITEM 86</t>
  </si>
  <si>
    <t>ITEM 87</t>
  </si>
  <si>
    <t>ITEM 88</t>
  </si>
  <si>
    <t>ITEM 89</t>
  </si>
  <si>
    <t>ITEM 90</t>
  </si>
  <si>
    <t>ITEM 91</t>
  </si>
  <si>
    <t>ITEM 92</t>
  </si>
  <si>
    <t>ITEM 93</t>
  </si>
  <si>
    <t>ITEM 94</t>
  </si>
  <si>
    <t>ITEM 95</t>
  </si>
  <si>
    <t>ITEM 96</t>
  </si>
  <si>
    <t>ITEM 97</t>
  </si>
  <si>
    <t>ITEM 98</t>
  </si>
  <si>
    <t>ITEM 99</t>
  </si>
  <si>
    <t>ITEM 100</t>
  </si>
  <si>
    <t>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t>
  </si>
  <si>
    <t>cx</t>
  </si>
  <si>
    <t>Caneta esferográfica
Cor vermelha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t>
  </si>
  <si>
    <t>Etiqueta auto adesiva
Folha em formato A4;
Gramatura 75 g/m2
Papel couchê removível;
Cor branca,
Folha contendo 1 etiqueta
Acondicionadas em pacotes com 25 folhas</t>
  </si>
  <si>
    <t>fl</t>
  </si>
  <si>
    <t>Etiqueta auto adesiva
Folha em formato carta;
Gramatura 75 g/m2
Cor branca fosca,
06 (seis) etiquetas de tamanho 84,7 x 101,6mm por folha
Acondicionadas em pacotes com 25 folhas, embaladas em plástico transparente. Pacotes acondicionados em caixas.</t>
  </si>
  <si>
    <t>pc</t>
  </si>
  <si>
    <t>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t>
  </si>
  <si>
    <t>Etiqueta Auto adesiva
com adesivo a base de resina de borracha para impressora térmica – Modelo Zebra ou Datamax.
Papel couchê
Dimensões:104mm de largura x 145 mm de altura x 1 coluna.
Tipo: lacre
A distância entre uma etiqueta e outra é de 2,7 mm. As etiquetas vêm em bobina.
Rolo com, no mínimo, 240  etiquetas
Acondicionadas em embalagem de papelão reciclável
Prazo de validade não inferior a 11 meses, contados do recebimento definitivo</t>
  </si>
  <si>
    <t>rl</t>
  </si>
  <si>
    <t>Etiqueta auto adesiva
Apresentação: bobina
Papel couchê
Dimensões: 2,5cm x 6,00cm
Tipo: lacre
Com picote de segurança
Rolo com, no mínimo, 1.000 (mil) etiquetas
Tubete de 3” (três polegadas)
Compatível com a impressora marca Zebra Cashway
Acondicionadas em embalagem de papelão reciclável
Prazo de validade não inferior a 11 meses, contados do recebimento definitivo</t>
  </si>
  <si>
    <t>Bloco de anotações
 Confeccionado em papel alcalino de gramatura 75 g/m2, na cor branca    
  Dimensões: 21 x 14,5 cm, admitidas variações de ± 1 cm.
 Com brasão da República
 Inscrição em cor preta conforme modelo disponível na Seção de Gestão de Almoxarifado do TRE-BA.
 50 folhas
Acondicionados em pacotes com 10 unidades.</t>
  </si>
  <si>
    <t xml:space="preserve">un </t>
  </si>
  <si>
    <t>Bloco de recados
Em papel, Cor amarela,
Dimensões: 76 x 76 mm,
Com 100 folhas
Removível, Auto-adesivo
Acondicionados em caixas com 20 unidades.</t>
  </si>
  <si>
    <t>Bloco de recados
Em papel, Cores variadas,
Dimensões: 38 x 50 mm,
Com 100 folhas
Removível, Auto-adesivo, pacote com 04 unidades de cores variadas
Acondicionados em caixas com 20 unidades</t>
  </si>
  <si>
    <t>Papel embrulho
Dimensões mínimas: 96 cm x 66 cm,
Em Kraft, Gramatura mínima 80 g/m2,
Para embalagem em geral     
Acondicionados em pacotes com até 100 folhas.</t>
  </si>
  <si>
    <t>Caneta marca-texto,
Corpo em material plástico,
Ponta em poliéster
Fluorescente, Cor amarela,
Traço de 5 mm, podendo variar para +/- 1mm
Acondicionado em caixas com 12 unidades.</t>
  </si>
  <si>
    <t>Caneta marca-texto,
Corpo em material plástico,
Ponta em poliéster
Fluorescente, Cor verde,
Traço de 5 mm, podendo variar para +/- 1mm
Acondicionado em caixas com 12 unidades.</t>
  </si>
  <si>
    <t>Marcador Permanente
Ponta chanfrada em fibra, Cor azul.
Acondicionados em caixas com 12 unidades.</t>
  </si>
  <si>
    <t>Borracha apagadora para lápis
Dimensões mínimas: (31 x 20 x 5) mm
Cor branca, Macia,
Acondicionadas em caixas com até 50 unidades.</t>
  </si>
  <si>
    <t>Marcador (pincel) para quadro branco magnético
cor azul, ponta não-retrátil, não tóxico, traço linear e sem falhas, fácil de ser apagado, ponta de 4mm e espessura da escrita 2mm, validade mínima de 1 (um) ano
Acondicionadas em caixas com 12 unidades</t>
  </si>
  <si>
    <t>Marcador (pincel) para quadro branco magnético
cor preta, ponta não-retrátil, não tóxico, traço linear e sem falhas, fácil de ser apagado, ponta de 4mm e espessura da escrita 2mm, validade mínima de 1 (um) ano
Acondicionadas em caixas com 12 unidades</t>
  </si>
  <si>
    <t>Tinta para carimbo
cor azul, em frasco com no mínimo 40ml.
Acondicionadas em caixas com 12 unidades</t>
  </si>
  <si>
    <t>Almofada para carimbo
Dimensões mínimas: 5,0 x 9,0cm
Material plástico e esponja absorvente revestida em tecido
Tipo entintada, Cor Azul</t>
  </si>
  <si>
    <t>Grampeador para grampo 26/6,
Comprimento mínimo: 16 cm,
Em metal pintado
Capacidade para grampear simultaneamente, no mínimo, 20 folhas de 75g/m2 cada.
Acondicionados em caixa individual</t>
  </si>
  <si>
    <t>Grampeador Profissional
Tipo profissional, mesa
Estrutura em metal
Capacidade para grampear simultaneamente, no mínimo, 100 folhas de 75g/m² cada
Compatível para utilização de grampos 23/8; 23/10 e 23/13
Ajuste de Profundidade
Base plástica ou emborrachada
Garantia mínima de 06 meses contados da data de recebimento</t>
  </si>
  <si>
    <t>Grampo para grampeador de 26/6.
Em aço;
Tratamento superficial: niquelado,
Caixa com 1.000 unidades.
Acondicionados em embalagens de papelão com até 50 caixas.</t>
  </si>
  <si>
    <t>Grampo para grampeador de 23/8
Em aço;
Tratamento superficial: niquelado,
Caixa com 5.000 unidades</t>
  </si>
  <si>
    <t>Perfurador para papel
Em metal pintado
2 furos redondos
Com marginador
Base em PVC
Capacidade mínima: 30 folhas de 75g/m2.
Embalado em caixa individual.</t>
  </si>
  <si>
    <t>Extrator de grampos
Para grampos 26/6
Cromado
Tipo alavanca
Comprimento mínimo: 150mm
Acondicionados em embalagens com até 50 un.</t>
  </si>
  <si>
    <t>Percevejo
Em metal com tratamento superficial niquelado
Tamanho: 10 mm
Acondicionado em caixas com 100 unidades</t>
  </si>
  <si>
    <t>Régua plástica transparente,
Milimétrica,
30 cm.
Embaladas individualmente
Acondicionadas em embalagens com até 50 un.</t>
  </si>
  <si>
    <t>Régua plástica transparente,
Comprimento: 15 cm.
Graduação centímetros/milímetros
Embaladas em pacotes ou caixas com até 100 unidades</t>
  </si>
  <si>
    <t>Tesoura
Em aço inoxidável,
Cabo em polipropileno, na cor preta,
Comprimento: 20 cm, admitida variação de ± 1,5 cm
Embaladas individualmente em estojo plástico.
Acondicionadas em embalagens com até 50  um.</t>
  </si>
  <si>
    <t>Elástico para dinheiro
Em látex,
Nº 18,
Pacote com 100 gramas
Acondicionadas em embalagens com até 50 pacotes.</t>
  </si>
  <si>
    <t>pct</t>
  </si>
  <si>
    <t>Adesivo instantâneo
À base de cianoacrilato,
Tubo com 5g.
Validade mínima de 11 meses a contar da data de recebimento definitivo.
Acondicionados em embalagem individual</t>
  </si>
  <si>
    <t>Cola branca,
À base de PVA
Tipo escolar;
Bisnaga com 40g
Validade mínima de 18 meses contados da data de recebimento definitivo.
Acondicionadas em caixas com até 50 unidades.</t>
  </si>
  <si>
    <t>Corretivo fita
Seco
Corpo em acrílico transparente.
Dimensões: Largura: 4 a 6mm x Comprimento: 6 a 8m
Acondicionado em caixas com até 50 unidades.</t>
  </si>
  <si>
    <t>Estilete
Invólucro em plástico resistente
Lâmina retrátil em aço,
Comprimento mínimo: 18 cm
Com sistema de travamento
Encaixe por pressão
Embalados individualmente,
Acondicionados em embalagem com até 50 un.</t>
  </si>
  <si>
    <t>Clips nº 1
Em aço inox;
Tratamento superficial: niquelado,
Caixa com 100 unidades
Embaladas em embalagem de papelão com até 100 un.</t>
  </si>
  <si>
    <t>Clips nº 6
Em aço inox;
Tratamento superficial: niquelado,
Caixa com 50 unidades
Embaladas em embalagem de papelão com até 100 un.</t>
  </si>
  <si>
    <t>Papel alcalino no formato A4 (210x297mm),
Cor branca,
Gramatura: 75g/m2,
Para impressora a laser</t>
  </si>
  <si>
    <t>rm</t>
  </si>
  <si>
    <t>Papel alcalino no formato A4 (210x297mm),
Cor branca,
Gramatura: 90g/m2,
Para impressora a laser</t>
  </si>
  <si>
    <t>Papel Vergê no formato A4 (210x297mm)
Cor branca,
Gramatura: 180g/m²
Para impressora a laser
Pacotes com 50 fls.</t>
  </si>
  <si>
    <t>Papel alcalino no formato A3 (297 x 420mm),
Cor branca, alta alvura
Gramatura: 75g/m²</t>
  </si>
  <si>
    <t>Papel Couchê Brilhante no formato A3 (297x420mm)
Cor Branca
Gramatura: 150 g/m²</t>
  </si>
  <si>
    <t>Pasta em PVC
Transparente,
Dimensões: 340 x 240 mm, admitidas variações de ±20mm
Com canaleta plástica.
Acondicionadas em embalagens com até 50 unidades</t>
  </si>
  <si>
    <t>Pasta em PVC transparente,
Com abas e elástico
Tratamento texturizado
Dimensões: 240 x 350 mm (largura x altura), admitidas variações de ± 10 mm.
Cor vermelha;
Acondicionadas em embalagens com até 50 unidades</t>
  </si>
  <si>
    <t>Pasta em PVC transparente,
Com abas e elástico
Tratamento texturizado
Formato: 240 x 350 mm (largura x altura), admitidas variações de ± 10 mm.
Cor fumê;
Acondicionadas em embalagens com até 50 unidades</t>
  </si>
  <si>
    <t>Pasta registradora A/Z
Dorso fino;
Com orifício reforçado com ilhós em PVC,
Capa dura com tratamento superficial plastificado em ambas as faces,
Ferragem de dois ganchos com tratamento superficial niquelado.
Fixador interno em PVC
Acondicionadas em caixas com até 30 unidades</t>
  </si>
  <si>
    <t>Pasta registradora A/Z
Dorso largo;
Com orifício reforçado com ilhós em PVC,
Capa dura com tratamento superficial plastificado em ambas as faces,
Ferragem de dois ganchos com tratamento superficial niquelado.
Fixador interno em PVC
Acondicionadas em caixas com até 20 unidades</t>
  </si>
  <si>
    <t>Pasta suspensa marmorizada
Cartão duplo,
Com etiqueta e plástico para a identificação, e prendedores plásticos.
Acondicionada em embalagens com até 50 unidades</t>
  </si>
  <si>
    <t>Prancheta
Material: MDP ou MDF
Tamanho: Ofício ou A4
Dimensões: 340 x 230 mm - podendo variar em + 1,0cm
Prendedor de metal ou plástico</t>
  </si>
  <si>
    <t>Numerador Metálico de 06 dígitos
Altura de números: 05 mm
Repetições: 0,1,2,3,4,6,12
Construção: metálica</t>
  </si>
  <si>
    <t>Refil para numerador automático de 6 dígitos
Compatível com o item 49.
Acondicionados em embalagem com até 5 unidades
Prazo de validade não inferior a 6 meses, contados da data do recebimento definitivo</t>
  </si>
  <si>
    <t>Porta diploma
Tamanho 26 x 35,5 cm
Dobra horizontal
Impressão do Brasão da República
Acartonado preto com impressão  4 x 0 cores
Acabamento interno em papel fosco e quatro alças em tecido para suporte
Obrigatória a apresentação de amostras</t>
  </si>
  <si>
    <t>Umedecedor de dedo em pasta
Com glicerina, não tóxico e que não manche
Com CRQ do químico responsável impresso na embalagem e/ou no rótulo
Peso líquido de 12g
Validade mínima de 6 (seis) meses
Acondicionado em caixas com 10 unidades</t>
  </si>
  <si>
    <t>Fonte de Pesquisa - Menor Preço</t>
  </si>
  <si>
    <t xml:space="preserve">MANOS COMERCIO ATACADISTA DE MATERIAIS LTDA </t>
  </si>
  <si>
    <t xml:space="preserve">EXCLUSIVA COMERCIO E SERVICOS, PAPELARIA E INFORMATICA LTDA </t>
  </si>
  <si>
    <t>GRAFICA LUAR EDITORA E PAPELARIA LTDA</t>
  </si>
  <si>
    <t>CAVALCANTE SOUTO ARTIGOS DE PAPELARIA LTDA</t>
  </si>
  <si>
    <t>50.775.249 ANDERSON PEREIRA DA SILVA</t>
  </si>
  <si>
    <t>BRAVA FORTE COMERCIAL LTDA</t>
  </si>
  <si>
    <t>POLO DISTRIBUIDORA E PRESTADORA DE SERVICOS LTDA</t>
  </si>
  <si>
    <t>SALENAS CONFECCAO E MATERIAIS PARA ESCRITORIOS LTDA</t>
  </si>
  <si>
    <t>LICITATEC COMERCIO LTDA</t>
  </si>
  <si>
    <t>CCL DISTRIBUIDORA LTDA</t>
  </si>
  <si>
    <t>JULIANA CORREA PAZ</t>
  </si>
  <si>
    <t>SOBRAL NUNES COMERCIO E TECNOLOGIA LTDA</t>
  </si>
  <si>
    <t>INTER MASTER COMERCIO DE MATERIAL DE ESCRITORIO E SERVICOS LTDA</t>
  </si>
  <si>
    <t>FENIX SOLUCOES COMERCIO DE EQUIPAMENTOS E SUPRIMENTOS DE INFORMATICA LTDA</t>
  </si>
  <si>
    <t>Y S DIAS COMERCIO DE PAPELARIA</t>
  </si>
  <si>
    <t>KINGDOM LICITACAO LTDA</t>
  </si>
  <si>
    <t>DYESON FERNANDO HERMANN 10737192941</t>
  </si>
  <si>
    <t>AMPLA COMERCIAL LTDA</t>
  </si>
  <si>
    <t>JSL COMERCIO DE MATERIAL DE EXPEDIENTE LTDA</t>
  </si>
  <si>
    <t>VB PAPELARIA E PRESENTES LTDA</t>
  </si>
  <si>
    <t>REGINA CELIA CUNHA DE SOUSA 00641565755</t>
  </si>
  <si>
    <t>JR PORTELLA COMERCIO DE ACESSORIOS E SERVICOS AUTOMOTIVOS LTDA</t>
  </si>
  <si>
    <t>NEW HOME COMERCIO DE MOVEIS LTDA</t>
  </si>
  <si>
    <t>LUCIANE KLESENER</t>
  </si>
  <si>
    <t>JULIPLAST EMBALAGENS LTDA</t>
  </si>
  <si>
    <t>ALIANCA COMERCIO E DISTRIBUICAO LTDA</t>
  </si>
  <si>
    <t>RC RAMOS COMERCIO LTDA</t>
  </si>
  <si>
    <t>48.843.109 TEREZINHA ZULMAR MADRIL</t>
  </si>
  <si>
    <t>POLLYANA MELO DA SILVA LUSTOSA</t>
  </si>
  <si>
    <t>P. L. FADEL INFORMATICA LTDA</t>
  </si>
  <si>
    <t>SUPRIMAX COMERCIAL LTDA</t>
  </si>
  <si>
    <t>COMERCIAL PROMOSTORE CONFECCOES LTDA</t>
  </si>
  <si>
    <t>49.215.275 RENATA CAVALCANTI MAFRA</t>
  </si>
  <si>
    <t>JPJ COMERCIO VAREJISTA DE MATERIAL DE ESCRITORIO LTDA</t>
  </si>
  <si>
    <t>ALNETTO COMERCIAL E SERVICOS LTDA</t>
  </si>
  <si>
    <t>M. F. MACHADO SOARES</t>
  </si>
  <si>
    <t>ATIVA MALL COMERCIO DE UTILIDADES LTDA</t>
  </si>
  <si>
    <t>RAFA PAPER DISTRIBUIDORA LTDA</t>
  </si>
  <si>
    <t>LAD SOLUCOES INTEGRADAS LTDA</t>
  </si>
  <si>
    <t>MAIS ATACAREJO LTDA</t>
  </si>
  <si>
    <t>REDEPEL DISTRIBUIDORA LTDA</t>
  </si>
  <si>
    <t>UNICA SANEANTES LTDA</t>
  </si>
  <si>
    <t>BOX DISTRIBUIDORA DE EMBALAGENS LTDA</t>
  </si>
  <si>
    <t>R. G. XAVIER GUIMARAES LTDA</t>
  </si>
  <si>
    <t>LOTTUS COMERCIO LTDA</t>
  </si>
  <si>
    <t>BML COMERCIAL LTDA</t>
  </si>
  <si>
    <t>TEIXEIRA DE ARRUDA LTDA</t>
  </si>
  <si>
    <t>R F SARMENTO COMERCIO E SERVICOS</t>
  </si>
  <si>
    <t>TANGO LTDA</t>
  </si>
  <si>
    <t>49.471.189 LTDA</t>
  </si>
  <si>
    <t>PERFORMACE COMERCIO &amp; SERVICOS LTDA</t>
  </si>
  <si>
    <t>TACCUINO DISTRIBUIDORA DE MATERIAIS LTDA</t>
  </si>
  <si>
    <t>W C SILVA LTDA</t>
  </si>
  <si>
    <t>ALISSON DE OLIVEIRA COSTA</t>
  </si>
  <si>
    <t>PRISCILA RAUBER HENGEMUHLE</t>
  </si>
  <si>
    <t>RSUL LTDA</t>
  </si>
  <si>
    <t>C.L.C. MAUES LTDA</t>
  </si>
  <si>
    <t>BAHAM COMERCIO DE INFORMATICA E PAPELARIA LTDA</t>
  </si>
  <si>
    <t>C L BESERRA &amp; CIA LTDA</t>
  </si>
  <si>
    <t>C C L MASCARENHAS ARTIGOS DE PAPELARIA LTDA</t>
  </si>
  <si>
    <t>M R DE MORAIS LTDA</t>
  </si>
  <si>
    <t>VIVA DISTRIBUIDORA DE PRODUTOS LTDA</t>
  </si>
  <si>
    <t>MAXIMA ATACADISTA LTDA</t>
  </si>
  <si>
    <t>DOAC COMERCIO &amp; SERVICOS LTDA</t>
  </si>
  <si>
    <t>PAPELARIA FAVARETTO E PIMENTEL LTDA</t>
  </si>
  <si>
    <t>LUCAS DAMASCENO DE AZEVEDO 02667204204</t>
  </si>
  <si>
    <t>R DA S AGUIAR COMERCIO DE MATERIAL DE LIMPEZA LTDA</t>
  </si>
  <si>
    <t>MAXIM QUALITTA COMERCIO LTDA</t>
  </si>
  <si>
    <t>DUOLIMP COMERCIO LTDA</t>
  </si>
  <si>
    <t>MAIS ESPORTE COMERCIO DE ARTIGOS ESPORTIVOS LTDA</t>
  </si>
  <si>
    <t>ALEGRENSE DISTRIBUIDORA E REPRESENTACAO COMERCIAL LTDA</t>
  </si>
  <si>
    <t>P&amp;M COMERCIAL E DISTRIBUIDORA DE PRODUTOS E EQUIPAMENTOS - EIRELI</t>
  </si>
  <si>
    <t>GFS PAPELARIA LTDA</t>
  </si>
  <si>
    <t>W.M.W COMERCIAL E MATERIAIS DE LIMPEZA LTDA.</t>
  </si>
  <si>
    <t>LIVRARIA E PAPELARIA PRATICA LTDA</t>
  </si>
  <si>
    <t>COMERCIAL CANAA LTDA</t>
  </si>
  <si>
    <t>E M SOUSA COMERCIO E SERVICOS LTDA</t>
  </si>
  <si>
    <t>INFOTRIZ COMERCIAL LTDA</t>
  </si>
  <si>
    <t>BERNADETE R. DE SOUZA</t>
  </si>
  <si>
    <t>P C DIAS LTDA</t>
  </si>
  <si>
    <t>IDALIA DE OLIVEIRA DIAS LTDA</t>
  </si>
  <si>
    <t>BARBOSA MACEDO &amp; CIA LTDA</t>
  </si>
  <si>
    <t>39.706.373 CARLOS DOUGLAS PEREIRA FERREIRA</t>
  </si>
  <si>
    <t>JP COMERCIO LTDA</t>
  </si>
  <si>
    <t>ESPINDULA MOVEIS LTDA</t>
  </si>
  <si>
    <t>CELSO LUIZ MOREIRA DA COSTA</t>
  </si>
  <si>
    <t>OMNIS PARTICIPACOES E REPRESENTACOES LTDA</t>
  </si>
  <si>
    <t>CONCRETA BRASIL SOLUCOES EMPRESARIAIS LTDA</t>
  </si>
  <si>
    <t>A.A. DISTRIBUICAO E IMPORTACAO DE ARTIGOS DE DECORACAO LTDA</t>
  </si>
  <si>
    <t>STYLLUS DISTRIBUIDORA COMERCIO E SERVICOS LTDA</t>
  </si>
  <si>
    <t>SOLABOR PRODUTOS PARA LABORATORIOS LTDA</t>
  </si>
  <si>
    <t>MEGA LICITACOES LTDA</t>
  </si>
  <si>
    <t>50.002.164 MARIA EFIGENIA ALMEIDA DA SILVA</t>
  </si>
  <si>
    <t>IMPRIMA INDUSTRIA GRAFICA LTDA</t>
  </si>
  <si>
    <t>MORESCO &amp; ANTUNES LTDA</t>
  </si>
  <si>
    <t>MONSARAS TRADE E SERVICOS LTDA</t>
  </si>
  <si>
    <t>BP PAPEIS LTDA</t>
  </si>
  <si>
    <t>PROCOMP PRODUTOS E SERVICOS DE INFORMATICA LTDA.</t>
  </si>
  <si>
    <t>FOX ELETRONICA LTDA</t>
  </si>
  <si>
    <t>R E ROCHA COMERCIO E SERVICOS LTDA</t>
  </si>
  <si>
    <t>CAMILA M. DA SILVA LTDA</t>
  </si>
  <si>
    <t>50.664.591 RODRIGO RESENDE ANDRADE SILVA</t>
  </si>
  <si>
    <t>FUSAO PAPELARIA E LIVRARIA LTDA</t>
  </si>
  <si>
    <t>CENTURION COMERCIO E SERVICOS DE INFORMATICA LTDA</t>
  </si>
  <si>
    <t>M S SANTOS EIRELI</t>
  </si>
  <si>
    <t>50.500.191 PEDRO RUAN HOLANDA NOBRE</t>
  </si>
  <si>
    <t>GLOBAL BRASIL COMERCIAL LTDA</t>
  </si>
  <si>
    <t>26.683.559 JEFFERSON DOS SANTOS SILVA</t>
  </si>
  <si>
    <t>RENE ALMEIDA DO NASCIMENTO 40439137888</t>
  </si>
  <si>
    <t>WR COMERCIO DE PAPEIS LTDA</t>
  </si>
  <si>
    <t>WALDIR AVELINO MARTINS LTDA</t>
  </si>
  <si>
    <t>MULTPAPER DISTRIBUIDORA DE PAPEIS LTDA.</t>
  </si>
  <si>
    <t>GRAFICA ALTA DEFINICAO LTDA</t>
  </si>
  <si>
    <t>M V SANTOS GRAFICA E EDITORA LTDA</t>
  </si>
  <si>
    <t>FIRMINI COMERCIAL LTDA</t>
  </si>
  <si>
    <t>S. L. DE CASTRO LTDA</t>
  </si>
  <si>
    <t>MBEM COMERCIO E DISTRIBUICAO DE MATERIAIS ESCOLARES LTDA</t>
  </si>
  <si>
    <t>HF REPRESENTACOES LTDA</t>
  </si>
  <si>
    <t>BOX DISTRIBUIDORA DE EMBALAGENS EIRELI</t>
  </si>
  <si>
    <t>LIMA COMERCIO DE MATERIAIS E SERVICOS LTDA</t>
  </si>
  <si>
    <t>COMERCIAL J A LTDA</t>
  </si>
  <si>
    <t>LRF DISTRIBUIDORA LTDA</t>
  </si>
  <si>
    <t>LER - LIVRARIA E PAPELARIA LTDA</t>
  </si>
  <si>
    <t>SOUZA ALVES &amp; CIA LTDA</t>
  </si>
  <si>
    <t>RLDOK DISTRIBUIDORA DE MATERIAL E SERVICOS LTDA</t>
  </si>
  <si>
    <t>PRISMA PAPELARIALTDA</t>
  </si>
  <si>
    <t>C J M UTILIDADES LTDA</t>
  </si>
  <si>
    <t>SOBRAL-CHAVES E CARIMBOS LTDA</t>
  </si>
  <si>
    <t>WR MATERIAL ESCOLAR &amp; ESCRITORIO LTDA</t>
  </si>
  <si>
    <t>BELINKI &amp; SOUZA LTDA</t>
  </si>
  <si>
    <t>ERMIDA PAPELARIA E LIVRARIA LTDA</t>
  </si>
  <si>
    <t>22.009.248 SIDNEI JOSE MOSELE</t>
  </si>
  <si>
    <t>LUCELIO APARECIDO MARQUES ALVES 03485121630</t>
  </si>
  <si>
    <t>JMJ COMERCIO E SERVICOS LTDA</t>
  </si>
  <si>
    <t>CONTABILISTA SUPRIMENTOS</t>
  </si>
  <si>
    <t>FIBRAP</t>
  </si>
  <si>
    <t>GRAFIARA</t>
  </si>
  <si>
    <t>PAPELARIA ART NOVA</t>
  </si>
  <si>
    <t>AMAZON</t>
  </si>
  <si>
    <t>KALUNGA</t>
  </si>
  <si>
    <t>MUNDOWARE</t>
  </si>
  <si>
    <t>PAPELARIA MAIS BRASIL</t>
  </si>
  <si>
    <t>NAGEM</t>
  </si>
  <si>
    <t>OBA BOX</t>
  </si>
  <si>
    <t>GIMBA</t>
  </si>
  <si>
    <t>MAGAZINE LUIZA</t>
  </si>
  <si>
    <t>MC PAPEIS</t>
  </si>
  <si>
    <t>PAPELEX</t>
  </si>
  <si>
    <t>OBRA &amp; LAR</t>
  </si>
  <si>
    <t>TAVI PAPELARIA</t>
  </si>
  <si>
    <t>UPMAIS</t>
  </si>
  <si>
    <t>JANDAIA</t>
  </si>
  <si>
    <t>PAPELARIA QUEIROZ</t>
  </si>
  <si>
    <t>PAPELARIA MALIBU</t>
  </si>
  <si>
    <t>BELAS ARTES PRESENTES</t>
  </si>
  <si>
    <t>PAPELARIA BLAU</t>
  </si>
  <si>
    <t>FK</t>
  </si>
  <si>
    <t>PAPELARIA JAMBO</t>
  </si>
  <si>
    <t>AMERICANAS</t>
  </si>
  <si>
    <t>PAPELARIA CAPITAL</t>
  </si>
  <si>
    <t>DIFUSOR AR CONDICIONADO</t>
  </si>
  <si>
    <t>LOJA DO MECANICO</t>
  </si>
  <si>
    <t>OCEANO B2B</t>
  </si>
  <si>
    <t>ARMARINHO AMBAR</t>
  </si>
  <si>
    <t>LEPOK</t>
  </si>
  <si>
    <t>LE BISCUIT</t>
  </si>
  <si>
    <t>NCOISAS</t>
  </si>
  <si>
    <t>ALOHA PAPELARIA</t>
  </si>
  <si>
    <t>LIVRARIA COLEGIAL</t>
  </si>
  <si>
    <t>LOJA DE CARIMBOS</t>
  </si>
  <si>
    <t>TEBEL SUPRIMENTOS</t>
  </si>
  <si>
    <t>CARIMBO SHOP</t>
  </si>
  <si>
    <t>CARIMBOS WEB</t>
  </si>
  <si>
    <t>NOVA ERA CARIMBOS</t>
  </si>
  <si>
    <t>TAHFANI</t>
  </si>
  <si>
    <t>LOJAS ENCOPEL</t>
  </si>
  <si>
    <t>DOKASSA DISTRIBUIDORA</t>
  </si>
  <si>
    <t>360IMPRIMIR</t>
  </si>
  <si>
    <t>PERSONA PAPELARIA</t>
  </si>
  <si>
    <t>PROMOPRESS</t>
  </si>
  <si>
    <t>D &amp; W COMERCIO E SERVICOS</t>
  </si>
  <si>
    <t>KIVER COMÉRCIO DE SUPRIMENTOS PARA INFORMÁTICA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</si>
</sst>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R$&quot;\ * #,##0.00_-;\-&quot;R$&quot;\ * #,##0.00_-;_-&quot;R$&quot;\ * &quot;-&quot;??_-;_-@_-"/>
    <numFmt numFmtId="43" formatCode="_-* #,##0.00_-;\-* #,##0.00_-;_-* &quot;-&quot;??_-;_-@_-"/>
    <numFmt numFmtId="164" formatCode="[$R$-416]\ #,##0.00;[Red]\-[$R$-416]\ #,##0.00"/>
  </numFmts>
  <fonts count="18">
    <font>
      <sz val="10"/>
      <name val="Arial"/>
      <family val="2"/>
    </font>
    <font>
      <sz val="10"/>
      <name val="Arial"/>
      <family val="2"/>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sz val="10"/>
      <name val="Arial"/>
      <family val="2"/>
    </font>
  </fonts>
  <fills count="13">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2" tint="-9.9978637043366805E-2"/>
        <bgColor indexed="64"/>
      </patternFill>
    </fill>
    <fill>
      <patternFill patternType="solid">
        <fgColor theme="2" tint="-0.249977111117893"/>
        <bgColor indexed="47"/>
      </patternFill>
    </fill>
    <fill>
      <patternFill patternType="solid">
        <fgColor theme="2" tint="-0.249977111117893"/>
        <bgColor indexed="64"/>
      </patternFill>
    </fill>
    <fill>
      <patternFill patternType="solid">
        <fgColor theme="2"/>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22">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4"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xf numFmtId="43" fontId="17" fillId="0" borderId="0" applyFont="0" applyFill="0" applyBorder="0" applyAlignment="0" applyProtection="0"/>
  </cellStyleXfs>
  <cellXfs count="89">
    <xf numFmtId="0" fontId="0" fillId="0" borderId="0" xfId="0"/>
    <xf numFmtId="0" fontId="11" fillId="0" borderId="0" xfId="0" applyFont="1" applyAlignment="1">
      <alignment wrapText="1"/>
    </xf>
    <xf numFmtId="0" fontId="11" fillId="0" borderId="0" xfId="0" applyFont="1" applyAlignment="1"/>
    <xf numFmtId="0" fontId="11" fillId="0" borderId="0" xfId="0" applyFont="1" applyProtection="1">
      <protection locked="0"/>
    </xf>
    <xf numFmtId="0" fontId="13" fillId="0" borderId="3" xfId="0" applyFont="1" applyBorder="1" applyProtection="1">
      <protection locked="0"/>
    </xf>
    <xf numFmtId="0" fontId="12" fillId="0" borderId="5" xfId="0" applyFont="1" applyBorder="1" applyAlignment="1" applyProtection="1">
      <alignment horizontal="center" vertical="center"/>
      <protection locked="0"/>
    </xf>
    <xf numFmtId="0" fontId="15" fillId="0" borderId="5"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3" fillId="0" borderId="5" xfId="0" applyFont="1" applyBorder="1" applyProtection="1">
      <protection locked="0"/>
    </xf>
    <xf numFmtId="164" fontId="14" fillId="0" borderId="0" xfId="0" applyNumberFormat="1" applyFont="1" applyBorder="1" applyAlignment="1" applyProtection="1">
      <alignment horizontal="center"/>
      <protection locked="0"/>
    </xf>
    <xf numFmtId="164" fontId="11" fillId="0" borderId="0" xfId="0" applyNumberFormat="1" applyFont="1" applyBorder="1" applyAlignment="1" applyProtection="1">
      <protection locked="0"/>
    </xf>
    <xf numFmtId="164" fontId="14" fillId="0" borderId="3" xfId="0" applyNumberFormat="1" applyFont="1" applyBorder="1" applyAlignment="1" applyProtection="1">
      <alignment horizontal="center" shrinkToFit="1"/>
      <protection locked="0"/>
    </xf>
    <xf numFmtId="0" fontId="12" fillId="9" borderId="2" xfId="0" applyFont="1" applyFill="1" applyBorder="1" applyAlignment="1" applyProtection="1">
      <alignment horizontal="center" vertical="center" wrapText="1"/>
    </xf>
    <xf numFmtId="0" fontId="12" fillId="9" borderId="3" xfId="0" applyFont="1" applyFill="1" applyBorder="1" applyAlignment="1" applyProtection="1">
      <alignment horizontal="center" vertical="center"/>
    </xf>
    <xf numFmtId="0" fontId="12" fillId="9" borderId="3" xfId="0" applyFont="1" applyFill="1" applyBorder="1" applyAlignment="1" applyProtection="1">
      <alignment horizontal="center" vertical="center" wrapText="1"/>
    </xf>
    <xf numFmtId="0" fontId="14" fillId="9" borderId="3" xfId="0" applyFont="1" applyFill="1" applyBorder="1" applyAlignment="1" applyProtection="1">
      <alignment horizontal="center" vertical="center"/>
    </xf>
    <xf numFmtId="0" fontId="14" fillId="9" borderId="3" xfId="0" applyFont="1" applyFill="1" applyBorder="1" applyAlignment="1" applyProtection="1">
      <alignment horizontal="center" vertical="center" wrapText="1"/>
    </xf>
    <xf numFmtId="0" fontId="11" fillId="9" borderId="3" xfId="0" applyFont="1" applyFill="1" applyBorder="1" applyAlignment="1" applyProtection="1">
      <alignment horizontal="center"/>
    </xf>
    <xf numFmtId="10" fontId="11" fillId="9" borderId="6" xfId="0" applyNumberFormat="1" applyFont="1" applyFill="1" applyBorder="1" applyAlignment="1" applyProtection="1">
      <alignment horizontal="center"/>
    </xf>
    <xf numFmtId="164" fontId="15" fillId="9" borderId="5" xfId="0" applyNumberFormat="1" applyFont="1" applyFill="1" applyBorder="1" applyAlignment="1" applyProtection="1">
      <alignment horizontal="center" shrinkToFit="1"/>
    </xf>
    <xf numFmtId="164" fontId="15" fillId="9" borderId="3" xfId="0" applyNumberFormat="1" applyFont="1" applyFill="1" applyBorder="1" applyAlignment="1" applyProtection="1">
      <alignment horizontal="center" shrinkToFit="1"/>
    </xf>
    <xf numFmtId="164" fontId="12" fillId="9" borderId="3" xfId="0" applyNumberFormat="1" applyFont="1" applyFill="1" applyBorder="1" applyAlignment="1" applyProtection="1">
      <alignment horizontal="left"/>
    </xf>
    <xf numFmtId="164" fontId="11" fillId="9" borderId="3" xfId="0" applyNumberFormat="1" applyFont="1" applyFill="1" applyBorder="1" applyAlignment="1" applyProtection="1">
      <alignment horizontal="right" shrinkToFit="1"/>
    </xf>
    <xf numFmtId="164" fontId="14" fillId="9" borderId="17" xfId="0" applyNumberFormat="1" applyFont="1" applyFill="1" applyBorder="1" applyAlignment="1" applyProtection="1">
      <alignment horizontal="center" vertical="center"/>
    </xf>
    <xf numFmtId="164" fontId="15" fillId="9" borderId="17" xfId="0" applyNumberFormat="1" applyFont="1" applyFill="1" applyBorder="1" applyAlignment="1" applyProtection="1">
      <alignment horizontal="right" shrinkToFit="1"/>
    </xf>
    <xf numFmtId="0" fontId="12" fillId="9" borderId="17" xfId="0" applyFont="1" applyFill="1" applyBorder="1" applyAlignment="1" applyProtection="1">
      <alignment horizontal="center" vertical="center"/>
    </xf>
    <xf numFmtId="164" fontId="11" fillId="9" borderId="17" xfId="0" applyNumberFormat="1" applyFont="1" applyFill="1" applyBorder="1" applyAlignment="1" applyProtection="1">
      <alignment horizontal="right" shrinkToFit="1"/>
    </xf>
    <xf numFmtId="164" fontId="14" fillId="9" borderId="3" xfId="0" applyNumberFormat="1" applyFont="1" applyFill="1" applyBorder="1" applyAlignment="1" applyProtection="1">
      <alignment horizontal="center" shrinkToFit="1"/>
    </xf>
    <xf numFmtId="0" fontId="12" fillId="9" borderId="2" xfId="0" applyFont="1" applyFill="1" applyBorder="1" applyAlignment="1" applyProtection="1">
      <alignment horizontal="center" vertical="center"/>
    </xf>
    <xf numFmtId="164" fontId="11" fillId="0" borderId="0" xfId="0" applyNumberFormat="1" applyFont="1" applyBorder="1" applyAlignment="1" applyProtection="1">
      <alignment horizontal="left"/>
      <protection locked="0"/>
    </xf>
    <xf numFmtId="0" fontId="12" fillId="0" borderId="0" xfId="0" applyFont="1" applyBorder="1" applyAlignment="1" applyProtection="1">
      <protection locked="0"/>
    </xf>
    <xf numFmtId="164" fontId="11" fillId="0" borderId="5"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5" fillId="0" borderId="0" xfId="0" applyNumberFormat="1" applyFont="1" applyFill="1" applyBorder="1" applyAlignment="1" applyProtection="1">
      <protection locked="0"/>
    </xf>
    <xf numFmtId="164" fontId="14" fillId="0" borderId="0" xfId="0" applyNumberFormat="1" applyFont="1" applyFill="1" applyBorder="1" applyAlignment="1" applyProtection="1">
      <protection locked="0"/>
    </xf>
    <xf numFmtId="0" fontId="12" fillId="0" borderId="0" xfId="0" applyFont="1" applyBorder="1" applyAlignment="1" applyProtection="1">
      <alignment horizontal="center"/>
      <protection locked="0"/>
    </xf>
    <xf numFmtId="0" fontId="12" fillId="0" borderId="0" xfId="0" applyFont="1" applyBorder="1" applyAlignment="1" applyProtection="1">
      <alignment horizontal="center"/>
      <protection locked="0"/>
    </xf>
    <xf numFmtId="0" fontId="12" fillId="9" borderId="2" xfId="0" applyFont="1" applyFill="1" applyBorder="1" applyAlignment="1" applyProtection="1">
      <alignment horizontal="center" vertical="center"/>
    </xf>
    <xf numFmtId="0" fontId="16" fillId="0" borderId="10" xfId="0" applyFont="1" applyFill="1" applyBorder="1" applyAlignment="1">
      <alignment wrapText="1"/>
    </xf>
    <xf numFmtId="44" fontId="16" fillId="11" borderId="7" xfId="0" applyNumberFormat="1" applyFont="1" applyFill="1" applyBorder="1" applyAlignment="1">
      <alignment wrapText="1"/>
    </xf>
    <xf numFmtId="0" fontId="12" fillId="9" borderId="7"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7" xfId="0" applyFont="1" applyFill="1" applyBorder="1" applyAlignment="1">
      <alignment vertical="center" wrapText="1"/>
    </xf>
    <xf numFmtId="44" fontId="11" fillId="9" borderId="7" xfId="12" applyFont="1" applyFill="1" applyBorder="1" applyAlignment="1">
      <alignment vertical="center" wrapText="1"/>
    </xf>
    <xf numFmtId="0" fontId="11" fillId="0" borderId="0" xfId="0" applyFont="1" applyAlignment="1">
      <alignment horizontal="center" wrapText="1"/>
    </xf>
    <xf numFmtId="0" fontId="11" fillId="9" borderId="10" xfId="0" applyFont="1" applyFill="1" applyBorder="1" applyAlignment="1">
      <alignment vertical="center" wrapText="1"/>
    </xf>
    <xf numFmtId="43" fontId="12" fillId="9" borderId="7" xfId="21" applyFont="1" applyFill="1" applyBorder="1" applyAlignment="1">
      <alignment horizontal="center" vertical="center" wrapText="1"/>
    </xf>
    <xf numFmtId="43" fontId="11" fillId="0" borderId="0" xfId="21" applyFont="1" applyAlignment="1">
      <alignment wrapText="1"/>
    </xf>
    <xf numFmtId="0" fontId="12" fillId="9" borderId="17" xfId="0" applyFont="1" applyFill="1" applyBorder="1" applyAlignment="1">
      <alignment horizontal="center" vertical="center" wrapText="1"/>
    </xf>
    <xf numFmtId="0" fontId="11" fillId="9" borderId="17" xfId="0" applyFont="1" applyFill="1" applyBorder="1" applyAlignment="1">
      <alignment vertical="center" wrapText="1"/>
    </xf>
    <xf numFmtId="44" fontId="11" fillId="9" borderId="7" xfId="12" applyFont="1" applyFill="1" applyBorder="1" applyAlignment="1">
      <alignment horizontal="center" vertical="center" wrapText="1"/>
    </xf>
    <xf numFmtId="44" fontId="16" fillId="11" borderId="7" xfId="0" applyNumberFormat="1" applyFont="1" applyFill="1" applyBorder="1" applyAlignment="1">
      <alignment horizontal="center" wrapText="1"/>
    </xf>
    <xf numFmtId="0" fontId="11" fillId="12" borderId="7" xfId="0" applyFont="1" applyFill="1" applyBorder="1" applyAlignment="1">
      <alignment horizontal="center" vertical="center" wrapText="1"/>
    </xf>
    <xf numFmtId="0" fontId="11" fillId="12" borderId="7" xfId="0" applyFont="1" applyFill="1" applyBorder="1" applyAlignment="1">
      <alignment vertical="center" wrapText="1"/>
    </xf>
    <xf numFmtId="44" fontId="11" fillId="12" borderId="7" xfId="12" applyFont="1" applyFill="1" applyBorder="1" applyAlignment="1">
      <alignment vertical="center" wrapText="1"/>
    </xf>
    <xf numFmtId="44" fontId="11" fillId="12" borderId="7" xfId="12" applyFont="1" applyFill="1" applyBorder="1" applyAlignment="1">
      <alignment horizontal="center" vertical="center" wrapText="1"/>
    </xf>
    <xf numFmtId="0" fontId="11" fillId="12" borderId="10" xfId="0" applyFont="1" applyFill="1" applyBorder="1" applyAlignment="1">
      <alignment vertical="center" wrapText="1"/>
    </xf>
    <xf numFmtId="0" fontId="11" fillId="9" borderId="9" xfId="0" applyFont="1" applyFill="1" applyBorder="1" applyAlignment="1" applyProtection="1">
      <alignment wrapText="1"/>
    </xf>
    <xf numFmtId="0" fontId="11" fillId="9" borderId="10" xfId="0" applyFont="1" applyFill="1" applyBorder="1" applyAlignment="1" applyProtection="1">
      <alignment wrapText="1"/>
    </xf>
    <xf numFmtId="0" fontId="11" fillId="9" borderId="11" xfId="0" applyFont="1" applyFill="1" applyBorder="1" applyAlignment="1" applyProtection="1">
      <alignment wrapText="1"/>
    </xf>
    <xf numFmtId="0" fontId="11" fillId="9" borderId="12" xfId="0" applyFont="1" applyFill="1" applyBorder="1" applyAlignment="1" applyProtection="1">
      <alignment wrapText="1"/>
    </xf>
    <xf numFmtId="0" fontId="11" fillId="9" borderId="13" xfId="0" applyFont="1" applyFill="1" applyBorder="1" applyAlignment="1" applyProtection="1">
      <alignment wrapText="1"/>
    </xf>
    <xf numFmtId="0" fontId="11" fillId="9" borderId="14" xfId="0" applyFont="1" applyFill="1" applyBorder="1" applyAlignment="1" applyProtection="1">
      <alignment wrapText="1"/>
    </xf>
    <xf numFmtId="0" fontId="12" fillId="9" borderId="2" xfId="0" applyFont="1" applyFill="1" applyBorder="1" applyAlignment="1" applyProtection="1">
      <alignment horizontal="center" vertical="center"/>
    </xf>
    <xf numFmtId="0" fontId="12" fillId="9" borderId="8"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6" fillId="10" borderId="2" xfId="0" applyFont="1" applyFill="1" applyBorder="1" applyAlignment="1" applyProtection="1">
      <alignment horizontal="center"/>
    </xf>
    <xf numFmtId="0" fontId="16" fillId="10" borderId="4" xfId="0" applyFont="1" applyFill="1" applyBorder="1" applyAlignment="1" applyProtection="1">
      <alignment horizontal="center"/>
    </xf>
    <xf numFmtId="0" fontId="16" fillId="10" borderId="8" xfId="0" applyFont="1" applyFill="1" applyBorder="1" applyAlignment="1" applyProtection="1">
      <alignment horizontal="center"/>
    </xf>
    <xf numFmtId="0" fontId="12" fillId="0" borderId="2" xfId="0" applyFont="1" applyBorder="1" applyAlignment="1" applyProtection="1">
      <alignment horizontal="center" vertical="center"/>
      <protection locked="0"/>
    </xf>
    <xf numFmtId="0" fontId="15" fillId="0" borderId="6"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0" fontId="15" fillId="0" borderId="16" xfId="0" applyFont="1" applyBorder="1" applyAlignment="1" applyProtection="1">
      <alignment vertical="top" wrapText="1"/>
      <protection locked="0"/>
    </xf>
    <xf numFmtId="0" fontId="15" fillId="0" borderId="6"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shrinkToFit="1"/>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164" fontId="14" fillId="9" borderId="6" xfId="0" applyNumberFormat="1" applyFont="1" applyFill="1" applyBorder="1" applyAlignment="1" applyProtection="1">
      <alignment horizontal="center" vertical="center" shrinkToFit="1"/>
    </xf>
    <xf numFmtId="164" fontId="14" fillId="9" borderId="15" xfId="0" applyNumberFormat="1" applyFont="1" applyFill="1" applyBorder="1" applyAlignment="1" applyProtection="1">
      <alignment horizontal="center" vertical="center" shrinkToFit="1"/>
    </xf>
    <xf numFmtId="164" fontId="14" fillId="9" borderId="16" xfId="0" applyNumberFormat="1" applyFont="1" applyFill="1" applyBorder="1" applyAlignment="1" applyProtection="1">
      <alignment horizontal="center" vertical="center" shrinkToFit="1"/>
    </xf>
    <xf numFmtId="0" fontId="16" fillId="11" borderId="7" xfId="0" applyFont="1" applyFill="1" applyBorder="1" applyAlignment="1">
      <alignment horizontal="center" wrapText="1"/>
    </xf>
    <xf numFmtId="0" fontId="16" fillId="11" borderId="18" xfId="0" applyFont="1" applyFill="1" applyBorder="1" applyAlignment="1">
      <alignment horizontal="center" wrapText="1"/>
    </xf>
    <xf numFmtId="0" fontId="16" fillId="11" borderId="19" xfId="0" applyFont="1" applyFill="1" applyBorder="1" applyAlignment="1">
      <alignment horizontal="center" wrapText="1"/>
    </xf>
    <xf numFmtId="0" fontId="16" fillId="11" borderId="20" xfId="0" applyFont="1" applyFill="1" applyBorder="1" applyAlignment="1">
      <alignment horizontal="center" wrapText="1"/>
    </xf>
    <xf numFmtId="0" fontId="16" fillId="11" borderId="17" xfId="0" applyFont="1" applyFill="1" applyBorder="1" applyAlignment="1">
      <alignment horizontal="center" wrapText="1"/>
    </xf>
  </cellXfs>
  <cellStyles count="22">
    <cellStyle name="Accent 1 1" xfId="1"/>
    <cellStyle name="Accent 2 1" xfId="2"/>
    <cellStyle name="Accent 3 1" xfId="3"/>
    <cellStyle name="Accent 4" xfId="4"/>
    <cellStyle name="Bad 1" xfId="5"/>
    <cellStyle name="Error 1" xfId="6"/>
    <cellStyle name="Footnote 1" xfId="7"/>
    <cellStyle name="Good 1" xfId="8"/>
    <cellStyle name="Heading 1 1" xfId="9"/>
    <cellStyle name="Heading 2 1" xfId="10"/>
    <cellStyle name="Heading 3" xfId="11"/>
    <cellStyle name="Moeda" xfId="12" builtinId="4"/>
    <cellStyle name="Neutral 1" xfId="13"/>
    <cellStyle name="Normal" xfId="0" builtinId="0"/>
    <cellStyle name="Note 1" xfId="14"/>
    <cellStyle name="Resultado" xfId="15"/>
    <cellStyle name="Resultado2" xfId="16"/>
    <cellStyle name="Status 1" xfId="17"/>
    <cellStyle name="Text 1" xfId="18"/>
    <cellStyle name="Título1" xfId="19"/>
    <cellStyle name="Vírgula" xfId="21" builtinId="3"/>
    <cellStyle name="Warning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3" sqref="G3:H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0</v>
      </c>
      <c r="B2" s="30" t="s">
        <v>22</v>
      </c>
      <c r="C2" s="30" t="s">
        <v>1</v>
      </c>
      <c r="D2" s="30" t="s">
        <v>2</v>
      </c>
      <c r="E2" s="14" t="s">
        <v>30</v>
      </c>
      <c r="F2" s="14" t="s">
        <v>31</v>
      </c>
      <c r="G2" s="30" t="s">
        <v>3</v>
      </c>
      <c r="H2" s="15" t="s">
        <v>4</v>
      </c>
      <c r="I2" s="16" t="s">
        <v>9</v>
      </c>
    </row>
    <row r="3" spans="1:9" ht="12.75" customHeight="1">
      <c r="A3" s="71"/>
      <c r="B3" s="72" t="s">
        <v>135</v>
      </c>
      <c r="C3" s="75" t="s">
        <v>136</v>
      </c>
      <c r="D3" s="78">
        <f>5000*0.25</f>
        <v>1250</v>
      </c>
      <c r="E3" s="81">
        <f>IF(C20&lt;=25%,D20,MIN(E20:F20))</f>
        <v>35.86</v>
      </c>
      <c r="F3" s="81">
        <f>MIN(H3:H17)</f>
        <v>21.65</v>
      </c>
      <c r="G3" s="4" t="s">
        <v>197</v>
      </c>
      <c r="H3" s="13">
        <v>21.65</v>
      </c>
      <c r="I3" s="29">
        <f>IF(H3="","",(IF($C$20&lt;25%,"N/A",IF(H3&lt;=($D$20+$A$20),H3,"Descartado"))))</f>
        <v>21.65</v>
      </c>
    </row>
    <row r="4" spans="1:9">
      <c r="A4" s="71"/>
      <c r="B4" s="73"/>
      <c r="C4" s="76"/>
      <c r="D4" s="79"/>
      <c r="E4" s="82"/>
      <c r="F4" s="82"/>
      <c r="G4" s="4" t="s">
        <v>198</v>
      </c>
      <c r="H4" s="13">
        <v>29.98</v>
      </c>
      <c r="I4" s="29">
        <f t="shared" ref="I4:I17" si="0">IF(H4="","",(IF($C$20&lt;25%,"N/A",IF(H4&lt;=($D$20+$A$20),H4,"Descartado"))))</f>
        <v>29.98</v>
      </c>
    </row>
    <row r="5" spans="1:9">
      <c r="A5" s="71"/>
      <c r="B5" s="73"/>
      <c r="C5" s="76"/>
      <c r="D5" s="79"/>
      <c r="E5" s="82"/>
      <c r="F5" s="82"/>
      <c r="G5" s="4" t="s">
        <v>334</v>
      </c>
      <c r="H5" s="13">
        <v>50.3</v>
      </c>
      <c r="I5" s="29">
        <f t="shared" si="0"/>
        <v>50.3</v>
      </c>
    </row>
    <row r="6" spans="1:9">
      <c r="A6" s="71"/>
      <c r="B6" s="73"/>
      <c r="C6" s="76"/>
      <c r="D6" s="79"/>
      <c r="E6" s="82"/>
      <c r="F6" s="82"/>
      <c r="G6" s="4" t="s">
        <v>340</v>
      </c>
      <c r="H6" s="13">
        <v>58.49</v>
      </c>
      <c r="I6" s="29" t="str">
        <f t="shared" si="0"/>
        <v>Descartado</v>
      </c>
    </row>
    <row r="7" spans="1:9">
      <c r="A7" s="71"/>
      <c r="B7" s="73"/>
      <c r="C7" s="76"/>
      <c r="D7" s="79"/>
      <c r="E7" s="82"/>
      <c r="F7" s="82"/>
      <c r="G7" s="4" t="s">
        <v>332</v>
      </c>
      <c r="H7" s="13">
        <v>41.5</v>
      </c>
      <c r="I7" s="29">
        <f t="shared" si="0"/>
        <v>41.5</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14.88796258727165</v>
      </c>
      <c r="B20" s="19">
        <f>COUNT(H3:H17)</f>
        <v>5</v>
      </c>
      <c r="C20" s="20">
        <f>IF(B20&lt;2,"N/A",(A20/D20))</f>
        <v>0.36869644842178428</v>
      </c>
      <c r="D20" s="21">
        <f>ROUND(AVERAGE(H3:H17),2)</f>
        <v>40.380000000000003</v>
      </c>
      <c r="E20" s="22">
        <f>IFERROR(ROUND(IF(B20&lt;2,"N/A",(IF(C20&lt;=25%,"N/A",AVERAGE(I3:I17)))),2),"N/A")</f>
        <v>35.86</v>
      </c>
      <c r="F20" s="22">
        <f>ROUND(MEDIAN(H3:H17),2)</f>
        <v>41.5</v>
      </c>
      <c r="G20" s="23" t="str">
        <f>INDEX(G3:G17,MATCH(H20,H3:H17,0))</f>
        <v>GRAFICA LUAR EDITORA E PAPELARIA LTDA</v>
      </c>
      <c r="H20" s="24">
        <f>MIN(H3:H17)</f>
        <v>21.65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35.86</v>
      </c>
    </row>
    <row r="23" spans="1:11">
      <c r="B23" s="32"/>
      <c r="C23" s="32"/>
      <c r="D23" s="67"/>
      <c r="E23" s="67"/>
      <c r="F23" s="36"/>
      <c r="G23" s="27" t="s">
        <v>8</v>
      </c>
      <c r="H23" s="28">
        <f>ROUND(H22,2)*D3</f>
        <v>44825</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44</v>
      </c>
      <c r="B2" s="30" t="s">
        <v>22</v>
      </c>
      <c r="C2" s="30" t="s">
        <v>1</v>
      </c>
      <c r="D2" s="30" t="s">
        <v>2</v>
      </c>
      <c r="E2" s="14" t="s">
        <v>30</v>
      </c>
      <c r="F2" s="14" t="s">
        <v>31</v>
      </c>
      <c r="G2" s="30" t="s">
        <v>3</v>
      </c>
      <c r="H2" s="15" t="s">
        <v>4</v>
      </c>
      <c r="I2" s="16" t="s">
        <v>9</v>
      </c>
    </row>
    <row r="3" spans="1:9" ht="12.75" customHeight="1">
      <c r="A3" s="71"/>
      <c r="B3" s="72" t="s">
        <v>149</v>
      </c>
      <c r="C3" s="75" t="s">
        <v>147</v>
      </c>
      <c r="D3" s="78">
        <v>1000</v>
      </c>
      <c r="E3" s="81">
        <f>IF(C20&lt;=25%,D20,MIN(E20:F20))</f>
        <v>3.97</v>
      </c>
      <c r="F3" s="81">
        <f>MIN(H3:H17)</f>
        <v>1.65</v>
      </c>
      <c r="G3" s="4" t="s">
        <v>212</v>
      </c>
      <c r="H3" s="13">
        <v>6.47</v>
      </c>
      <c r="I3" s="29">
        <f>IF(H3="","",(IF($C$20&lt;25%,"N/A",IF(H3&lt;=($D$20+$A$20),H3,"Descartado"))))</f>
        <v>6.47</v>
      </c>
    </row>
    <row r="4" spans="1:9">
      <c r="A4" s="71"/>
      <c r="B4" s="73"/>
      <c r="C4" s="76"/>
      <c r="D4" s="79"/>
      <c r="E4" s="82"/>
      <c r="F4" s="82"/>
      <c r="G4" s="4" t="s">
        <v>210</v>
      </c>
      <c r="H4" s="13">
        <v>4.66</v>
      </c>
      <c r="I4" s="29">
        <f t="shared" ref="I4:I17" si="0">IF(H4="","",(IF($C$20&lt;25%,"N/A",IF(H4&lt;=($D$20+$A$20),H4,"Descartado"))))</f>
        <v>4.66</v>
      </c>
    </row>
    <row r="5" spans="1:9">
      <c r="A5" s="71"/>
      <c r="B5" s="73"/>
      <c r="C5" s="76"/>
      <c r="D5" s="79"/>
      <c r="E5" s="82"/>
      <c r="F5" s="82"/>
      <c r="G5" s="4" t="s">
        <v>213</v>
      </c>
      <c r="H5" s="13">
        <v>8.3699999999999992</v>
      </c>
      <c r="I5" s="29" t="str">
        <f t="shared" si="0"/>
        <v>Descartado</v>
      </c>
    </row>
    <row r="6" spans="1:9">
      <c r="A6" s="71"/>
      <c r="B6" s="73"/>
      <c r="C6" s="76"/>
      <c r="D6" s="79"/>
      <c r="E6" s="82"/>
      <c r="F6" s="82"/>
      <c r="G6" s="4" t="s">
        <v>214</v>
      </c>
      <c r="H6" s="13">
        <v>3.1</v>
      </c>
      <c r="I6" s="29">
        <f t="shared" si="0"/>
        <v>3.1</v>
      </c>
    </row>
    <row r="7" spans="1:9">
      <c r="A7" s="71"/>
      <c r="B7" s="73"/>
      <c r="C7" s="76"/>
      <c r="D7" s="79"/>
      <c r="E7" s="82"/>
      <c r="F7" s="82"/>
      <c r="G7" s="4" t="s">
        <v>215</v>
      </c>
      <c r="H7" s="13">
        <v>1.65</v>
      </c>
      <c r="I7" s="29">
        <f t="shared" si="0"/>
        <v>1.65</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2.6623955378568382</v>
      </c>
      <c r="B20" s="19">
        <f>COUNT(H3:H17)</f>
        <v>5</v>
      </c>
      <c r="C20" s="20">
        <f>IF(B20&lt;2,"N/A",(A20/D20))</f>
        <v>0.54894753357872961</v>
      </c>
      <c r="D20" s="21">
        <f>ROUND(AVERAGE(H3:H17),2)</f>
        <v>4.8499999999999996</v>
      </c>
      <c r="E20" s="22">
        <f>IFERROR(ROUND(IF(B20&lt;2,"N/A",(IF(C20&lt;=25%,"N/A",AVERAGE(I3:I17)))),2),"N/A")</f>
        <v>3.97</v>
      </c>
      <c r="F20" s="22">
        <f>ROUND(MEDIAN(H3:H17),2)</f>
        <v>4.66</v>
      </c>
      <c r="G20" s="23" t="str">
        <f>INDEX(G3:G17,MATCH(H20,H3:H17,0))</f>
        <v>REGINA CELIA CUNHA DE SOUSA 00641565755</v>
      </c>
      <c r="H20" s="24">
        <f>MIN(H3:H17)</f>
        <v>1.65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3.97</v>
      </c>
    </row>
    <row r="23" spans="1:11">
      <c r="B23" s="32"/>
      <c r="C23" s="32"/>
      <c r="D23" s="67"/>
      <c r="E23" s="67"/>
      <c r="F23" s="36"/>
      <c r="G23" s="27" t="s">
        <v>8</v>
      </c>
      <c r="H23" s="28">
        <f>ROUND(H22,2)*D3</f>
        <v>3970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134</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9"/>
  <sheetViews>
    <sheetView view="pageBreakPreview" topLeftCell="A8" zoomScaleNormal="100" zoomScaleSheetLayoutView="100" workbookViewId="0">
      <selection activeCell="F60" sqref="F60"/>
    </sheetView>
  </sheetViews>
  <sheetFormatPr defaultRowHeight="12.75"/>
  <cols>
    <col min="1" max="1" width="9.140625" style="1"/>
    <col min="2" max="2" width="86.85546875" style="1" customWidth="1"/>
    <col min="3" max="5" width="13.28515625" style="1" customWidth="1"/>
    <col min="6" max="6" width="17.42578125" style="46" bestFit="1" customWidth="1"/>
    <col min="7" max="13" width="9.140625" style="2"/>
    <col min="14" max="16384" width="9.140625" style="1"/>
  </cols>
  <sheetData>
    <row r="1" spans="1:6" ht="15.75">
      <c r="A1" s="84" t="s">
        <v>13</v>
      </c>
      <c r="B1" s="84"/>
      <c r="C1" s="84"/>
      <c r="D1" s="84"/>
      <c r="E1" s="84"/>
      <c r="F1" s="84"/>
    </row>
    <row r="2" spans="1:6" ht="25.5">
      <c r="A2" s="42" t="s">
        <v>14</v>
      </c>
      <c r="B2" s="42" t="s">
        <v>15</v>
      </c>
      <c r="C2" s="42" t="s">
        <v>16</v>
      </c>
      <c r="D2" s="42" t="s">
        <v>17</v>
      </c>
      <c r="E2" s="42" t="s">
        <v>12</v>
      </c>
      <c r="F2" s="42" t="s">
        <v>18</v>
      </c>
    </row>
    <row r="3" spans="1:6" ht="127.5">
      <c r="A3" s="54">
        <v>1</v>
      </c>
      <c r="B3" s="55" t="str">
        <f>Item1!B3</f>
        <v>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3" s="54" t="str">
        <f>Item1!C3</f>
        <v>cx</v>
      </c>
      <c r="D3" s="54">
        <f>Item1!D3</f>
        <v>1250</v>
      </c>
      <c r="E3" s="56">
        <f>Item1!E3</f>
        <v>35.86</v>
      </c>
      <c r="F3" s="57">
        <f>IFERROR((ROUND(E3,2)*D3),"sem preço estimado")</f>
        <v>44825</v>
      </c>
    </row>
    <row r="4" spans="1:6" ht="127.5">
      <c r="A4" s="54">
        <v>2</v>
      </c>
      <c r="B4" s="55" t="str">
        <f>Item2!B3</f>
        <v>Caneta esferográfica
Cor vermelha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4" s="54" t="str">
        <f>Item2!C3</f>
        <v>cx</v>
      </c>
      <c r="D4" s="54">
        <f>Item2!D3</f>
        <v>300</v>
      </c>
      <c r="E4" s="56">
        <f>Item2!E3</f>
        <v>29.32</v>
      </c>
      <c r="F4" s="57">
        <f t="shared" ref="F4:F57" si="0">IFERROR((ROUND(E4,2)*D4),"sem preço estimado")</f>
        <v>8796</v>
      </c>
    </row>
    <row r="5" spans="1:6" ht="89.25">
      <c r="A5" s="54">
        <v>3</v>
      </c>
      <c r="B5" s="55" t="str">
        <f>Item3!B3</f>
        <v>Etiqueta auto adesiva
Folha em formato A4;
Gramatura 75 g/m2
Papel couchê removível;
Cor branca,
Folha contendo 1 etiqueta
Acondicionadas em pacotes com 25 folhas</v>
      </c>
      <c r="C5" s="54" t="str">
        <f>Item3!C3</f>
        <v>fl</v>
      </c>
      <c r="D5" s="54">
        <f>Item3!D3</f>
        <v>2500</v>
      </c>
      <c r="E5" s="56">
        <f>Item3!E3</f>
        <v>15.4</v>
      </c>
      <c r="F5" s="57">
        <f t="shared" si="0"/>
        <v>38500</v>
      </c>
    </row>
    <row r="6" spans="1:6" ht="89.25">
      <c r="A6" s="54">
        <v>4</v>
      </c>
      <c r="B6" s="55" t="str">
        <f>Item4!B3</f>
        <v>Etiqueta auto adesiva
Folha em formato carta;
Gramatura 75 g/m2
Cor branca fosca,
06 (seis) etiquetas de tamanho 84,7 x 101,6mm por folha
Acondicionadas em pacotes com 25 folhas, embaladas em plástico transparente. Pacotes acondicionados em caixas.</v>
      </c>
      <c r="C6" s="54" t="str">
        <f>Item4!C3</f>
        <v>pc</v>
      </c>
      <c r="D6" s="54">
        <f>Item4!D3</f>
        <v>4000</v>
      </c>
      <c r="E6" s="56">
        <f>Item4!E3</f>
        <v>15.46</v>
      </c>
      <c r="F6" s="57">
        <f t="shared" si="0"/>
        <v>61840</v>
      </c>
    </row>
    <row r="7" spans="1:6" ht="114.75">
      <c r="A7" s="54">
        <v>5</v>
      </c>
      <c r="B7" s="55" t="str">
        <f>Item5!B3</f>
        <v>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v>
      </c>
      <c r="C7" s="54" t="str">
        <f>Item5!C3</f>
        <v>pc</v>
      </c>
      <c r="D7" s="54">
        <f>Item5!D3</f>
        <v>500</v>
      </c>
      <c r="E7" s="56">
        <f>Item5!E3</f>
        <v>51.06</v>
      </c>
      <c r="F7" s="57">
        <f t="shared" si="0"/>
        <v>25530</v>
      </c>
    </row>
    <row r="8" spans="1:6" ht="114.75">
      <c r="A8" s="54">
        <v>6</v>
      </c>
      <c r="B8" s="55" t="str">
        <f>Item6!B3</f>
        <v>Etiqueta Auto adesiva
com adesivo a base de resina de borracha para impressora térmica – Modelo Zebra ou Datamax.
Papel couchê
Dimensões:104mm de largura x 145 mm de altura x 1 coluna.
Tipo: lacre
A distância entre uma etiqueta e outra é de 2,7 mm. As etiquetas vêm em bobina.
Rolo com, no mínimo, 240  etiquetas
Acondicionadas em embalagem de papelão reciclável
Prazo de validade não inferior a 11 meses, contados do recebimento definitivo</v>
      </c>
      <c r="C8" s="54" t="str">
        <f>Item6!C3</f>
        <v>rl</v>
      </c>
      <c r="D8" s="54">
        <f>Item6!D3</f>
        <v>25</v>
      </c>
      <c r="E8" s="56">
        <f>Item6!E3</f>
        <v>86.4</v>
      </c>
      <c r="F8" s="57">
        <f t="shared" si="0"/>
        <v>2160</v>
      </c>
    </row>
    <row r="9" spans="1:6" ht="140.25">
      <c r="A9" s="54">
        <v>7</v>
      </c>
      <c r="B9" s="55" t="str">
        <f>Item7!B3</f>
        <v>Etiqueta auto adesiva
Apresentação: bobina
Papel couchê
Dimensões: 2,5cm x 6,00cm
Tipo: lacre
Com picote de segurança
Rolo com, no mínimo, 1.000 (mil) etiquetas
Tubete de 3” (três polegadas)
Compatível com a impressora marca Zebra Cashway
Acondicionadas em embalagem de papelão reciclável
Prazo de validade não inferior a 11 meses, contados do recebimento definitivo</v>
      </c>
      <c r="C9" s="54" t="str">
        <f>Item7!C3</f>
        <v>rl</v>
      </c>
      <c r="D9" s="54">
        <f>Item7!D3</f>
        <v>100</v>
      </c>
      <c r="E9" s="56">
        <f>Item7!E3</f>
        <v>104.4</v>
      </c>
      <c r="F9" s="57">
        <f t="shared" si="0"/>
        <v>10440</v>
      </c>
    </row>
    <row r="10" spans="1:6" ht="102">
      <c r="A10" s="54">
        <v>8</v>
      </c>
      <c r="B10" s="55" t="str">
        <f>Item8!B3</f>
        <v>Bloco de anotações
 Confeccionado em papel alcalino de gramatura 75 g/m2, na cor branca    
  Dimensões: 21 x 14,5 cm, admitidas variações de ± 1 cm.
 Com brasão da República
 Inscrição em cor preta conforme modelo disponível na Seção de Gestão de Almoxarifado do TRE-BA.
 50 folhas
Acondicionados em pacotes com 10 unidades.</v>
      </c>
      <c r="C10" s="54" t="str">
        <f>Item8!C3</f>
        <v xml:space="preserve">un </v>
      </c>
      <c r="D10" s="54">
        <f>Item8!D3</f>
        <v>3000</v>
      </c>
      <c r="E10" s="56">
        <f>Item8!E3</f>
        <v>4.95</v>
      </c>
      <c r="F10" s="57">
        <f t="shared" si="0"/>
        <v>14850</v>
      </c>
    </row>
    <row r="11" spans="1:6" ht="76.5">
      <c r="A11" s="54">
        <v>9</v>
      </c>
      <c r="B11" s="55" t="str">
        <f>Item9!B3</f>
        <v>Bloco de recados
Em papel, Cor amarela,
Dimensões: 76 x 76 mm,
Com 100 folhas
Removível, Auto-adesivo
Acondicionados em caixas com 20 unidades.</v>
      </c>
      <c r="C11" s="54" t="str">
        <f>Item9!C3</f>
        <v xml:space="preserve">un </v>
      </c>
      <c r="D11" s="54">
        <f>Item9!D3</f>
        <v>1000</v>
      </c>
      <c r="E11" s="56">
        <f>Item9!E3</f>
        <v>2.1800000000000002</v>
      </c>
      <c r="F11" s="57">
        <f t="shared" si="0"/>
        <v>2180</v>
      </c>
    </row>
    <row r="12" spans="1:6" ht="76.5">
      <c r="A12" s="54">
        <v>10</v>
      </c>
      <c r="B12" s="55" t="str">
        <f>Item10!B3</f>
        <v>Bloco de recados
Em papel, Cores variadas,
Dimensões: 38 x 50 mm,
Com 100 folhas
Removível, Auto-adesivo, pacote com 04 unidades de cores variadas
Acondicionados em caixas com 20 unidades</v>
      </c>
      <c r="C12" s="54" t="str">
        <f>Item10!C3</f>
        <v xml:space="preserve">un </v>
      </c>
      <c r="D12" s="54">
        <f>Item10!D3</f>
        <v>1000</v>
      </c>
      <c r="E12" s="56">
        <f>Item10!E3</f>
        <v>3.97</v>
      </c>
      <c r="F12" s="57">
        <f t="shared" si="0"/>
        <v>3970</v>
      </c>
    </row>
    <row r="13" spans="1:6" ht="63.75">
      <c r="A13" s="54">
        <v>11</v>
      </c>
      <c r="B13" s="55" t="str">
        <f>Item11!B3</f>
        <v>Papel embrulho
Dimensões mínimas: 96 cm x 66 cm,
Em Kraft, Gramatura mínima 80 g/m2,
Para embalagem em geral     
Acondicionados em pacotes com até 100 folhas.</v>
      </c>
      <c r="C13" s="54" t="str">
        <f>Item11!C3</f>
        <v>fl</v>
      </c>
      <c r="D13" s="54">
        <f>Item11!D3</f>
        <v>3000</v>
      </c>
      <c r="E13" s="56">
        <f>Item11!E3</f>
        <v>1.55</v>
      </c>
      <c r="F13" s="57">
        <f t="shared" si="0"/>
        <v>4650</v>
      </c>
    </row>
    <row r="14" spans="1:6" ht="76.5">
      <c r="A14" s="54">
        <v>12</v>
      </c>
      <c r="B14" s="55" t="str">
        <f>Item12!B3</f>
        <v>Caneta marca-texto,
Corpo em material plástico,
Ponta em poliéster
Fluorescente, Cor amarela,
Traço de 5 mm, podendo variar para +/- 1mm
Acondicionado em caixas com 12 unidades.</v>
      </c>
      <c r="C14" s="54" t="str">
        <f>Item12!C3</f>
        <v>cx</v>
      </c>
      <c r="D14" s="54">
        <f>Item12!D3</f>
        <v>500</v>
      </c>
      <c r="E14" s="56">
        <f>Item12!E3</f>
        <v>21.63</v>
      </c>
      <c r="F14" s="57">
        <f t="shared" si="0"/>
        <v>10815</v>
      </c>
    </row>
    <row r="15" spans="1:6" ht="76.5">
      <c r="A15" s="54">
        <v>13</v>
      </c>
      <c r="B15" s="55" t="str">
        <f>Item13!B3</f>
        <v>Caneta marca-texto,
Corpo em material plástico,
Ponta em poliéster
Fluorescente, Cor verde,
Traço de 5 mm, podendo variar para +/- 1mm
Acondicionado em caixas com 12 unidades.</v>
      </c>
      <c r="C15" s="54" t="str">
        <f>Item13!C3</f>
        <v>cx</v>
      </c>
      <c r="D15" s="54">
        <f>Item13!D3</f>
        <v>400</v>
      </c>
      <c r="E15" s="56">
        <f>Item13!E3</f>
        <v>10.37</v>
      </c>
      <c r="F15" s="57">
        <f t="shared" si="0"/>
        <v>4148</v>
      </c>
    </row>
    <row r="16" spans="1:6" ht="38.25">
      <c r="A16" s="54">
        <v>14</v>
      </c>
      <c r="B16" s="55" t="str">
        <f>Item14!B3</f>
        <v>Marcador Permanente
Ponta chanfrada em fibra, Cor azul.
Acondicionados em caixas com 12 unidades.</v>
      </c>
      <c r="C16" s="54" t="str">
        <f>Item14!C3</f>
        <v>cx</v>
      </c>
      <c r="D16" s="54">
        <f>Item14!D3</f>
        <v>800</v>
      </c>
      <c r="E16" s="56">
        <f>Item14!E3</f>
        <v>32.840000000000003</v>
      </c>
      <c r="F16" s="57">
        <f t="shared" si="0"/>
        <v>26272.000000000004</v>
      </c>
    </row>
    <row r="17" spans="1:6" ht="51">
      <c r="A17" s="54">
        <v>15</v>
      </c>
      <c r="B17" s="55" t="str">
        <f>Item15!B3</f>
        <v>Borracha apagadora para lápis
Dimensões mínimas: (31 x 20 x 5) mm
Cor branca, Macia,
Acondicionadas em caixas com até 50 unidades.</v>
      </c>
      <c r="C17" s="54" t="str">
        <f>Item15!C3</f>
        <v xml:space="preserve">un </v>
      </c>
      <c r="D17" s="54">
        <f>Item15!D3</f>
        <v>1200</v>
      </c>
      <c r="E17" s="56">
        <f>Item15!E3</f>
        <v>0.42</v>
      </c>
      <c r="F17" s="57">
        <f t="shared" si="0"/>
        <v>504</v>
      </c>
    </row>
    <row r="18" spans="1:6" ht="51">
      <c r="A18" s="54">
        <v>16</v>
      </c>
      <c r="B18" s="55" t="str">
        <f>Item16!B3</f>
        <v>Marcador (pincel) para quadro branco magnético
cor azul, ponta não-retrátil, não tóxico, traço linear e sem falhas, fácil de ser apagado, ponta de 4mm e espessura da escrita 2mm, validade mínima de 1 (um) ano
Acondicionadas em caixas com 12 unidades</v>
      </c>
      <c r="C18" s="54" t="str">
        <f>Item16!C3</f>
        <v>cx</v>
      </c>
      <c r="D18" s="54">
        <f>Item16!D3</f>
        <v>10</v>
      </c>
      <c r="E18" s="56">
        <f>Item16!E3</f>
        <v>34.090000000000003</v>
      </c>
      <c r="F18" s="57">
        <f t="shared" si="0"/>
        <v>340.90000000000003</v>
      </c>
    </row>
    <row r="19" spans="1:6" ht="51">
      <c r="A19" s="54">
        <v>17</v>
      </c>
      <c r="B19" s="55" t="str">
        <f>Item17!B3</f>
        <v>Marcador (pincel) para quadro branco magnético
cor preta, ponta não-retrátil, não tóxico, traço linear e sem falhas, fácil de ser apagado, ponta de 4mm e espessura da escrita 2mm, validade mínima de 1 (um) ano
Acondicionadas em caixas com 12 unidades</v>
      </c>
      <c r="C19" s="54" t="str">
        <f>Item17!C3</f>
        <v>cx</v>
      </c>
      <c r="D19" s="54">
        <f>Item17!D3</f>
        <v>10</v>
      </c>
      <c r="E19" s="56">
        <f>Item17!E3</f>
        <v>25</v>
      </c>
      <c r="F19" s="57">
        <f t="shared" si="0"/>
        <v>250</v>
      </c>
    </row>
    <row r="20" spans="1:6" ht="38.25">
      <c r="A20" s="54">
        <v>18</v>
      </c>
      <c r="B20" s="55" t="str">
        <f>Item18!B3</f>
        <v>Tinta para carimbo
cor azul, em frasco com no mínimo 40ml.
Acondicionadas em caixas com 12 unidades</v>
      </c>
      <c r="C20" s="54" t="str">
        <f>Item18!C3</f>
        <v>cx</v>
      </c>
      <c r="D20" s="54">
        <f>Item18!D3</f>
        <v>200</v>
      </c>
      <c r="E20" s="56">
        <f>Item18!E3</f>
        <v>76.290000000000006</v>
      </c>
      <c r="F20" s="57">
        <f t="shared" si="0"/>
        <v>15258.000000000002</v>
      </c>
    </row>
    <row r="21" spans="1:6" ht="51">
      <c r="A21" s="54">
        <v>19</v>
      </c>
      <c r="B21" s="55" t="str">
        <f>Item19!B3</f>
        <v>Almofada para carimbo
Dimensões mínimas: 5,0 x 9,0cm
Material plástico e esponja absorvente revestida em tecido
Tipo entintada, Cor Azul</v>
      </c>
      <c r="C21" s="54" t="str">
        <f>Item19!C3</f>
        <v xml:space="preserve">un </v>
      </c>
      <c r="D21" s="54">
        <f>Item19!D3</f>
        <v>5000</v>
      </c>
      <c r="E21" s="56">
        <f>Item19!E3</f>
        <v>5.2</v>
      </c>
      <c r="F21" s="57">
        <f t="shared" si="0"/>
        <v>26000</v>
      </c>
    </row>
    <row r="22" spans="1:6" ht="63.75">
      <c r="A22" s="54">
        <v>20</v>
      </c>
      <c r="B22" s="55" t="str">
        <f>Item20!B3</f>
        <v>Grampeador para grampo 26/6,
Comprimento mínimo: 16 cm,
Em metal pintado
Capacidade para grampear simultaneamente, no mínimo, 20 folhas de 75g/m2 cada.
Acondicionados em caixa individual</v>
      </c>
      <c r="C22" s="54" t="str">
        <f>Item20!C3</f>
        <v xml:space="preserve">un </v>
      </c>
      <c r="D22" s="54">
        <f>Item20!D3</f>
        <v>1500</v>
      </c>
      <c r="E22" s="56">
        <f>Item20!E3</f>
        <v>12.23</v>
      </c>
      <c r="F22" s="57">
        <f t="shared" si="0"/>
        <v>18345</v>
      </c>
    </row>
    <row r="23" spans="1:6" ht="102">
      <c r="A23" s="54">
        <v>21</v>
      </c>
      <c r="B23" s="55" t="str">
        <f>Item21!B3</f>
        <v>Grampeador Profissional
Tipo profissional, mesa
Estrutura em metal
Capacidade para grampear simultaneamente, no mínimo, 100 folhas de 75g/m² cada
Compatível para utilização de grampos 23/8; 23/10 e 23/13
Ajuste de Profundidade
Base plástica ou emborrachada
Garantia mínima de 06 meses contados da data de recebimento</v>
      </c>
      <c r="C23" s="54" t="str">
        <f>Item21!C3</f>
        <v xml:space="preserve">un </v>
      </c>
      <c r="D23" s="54">
        <f>Item21!D3</f>
        <v>250</v>
      </c>
      <c r="E23" s="56">
        <f>Item21!E3</f>
        <v>41.06</v>
      </c>
      <c r="F23" s="57">
        <f t="shared" si="0"/>
        <v>10265</v>
      </c>
    </row>
    <row r="24" spans="1:6" ht="63.75">
      <c r="A24" s="54">
        <v>22</v>
      </c>
      <c r="B24" s="55" t="str">
        <f>Item22!B3</f>
        <v>Grampo para grampeador de 26/6.
Em aço;
Tratamento superficial: niquelado,
Caixa com 1.000 unidades.
Acondicionados em embalagens de papelão com até 50 caixas.</v>
      </c>
      <c r="C24" s="54" t="str">
        <f>Item22!C3</f>
        <v>cx</v>
      </c>
      <c r="D24" s="54">
        <f>Item22!D3</f>
        <v>8000</v>
      </c>
      <c r="E24" s="56">
        <f>Item22!E3</f>
        <v>2.2400000000000002</v>
      </c>
      <c r="F24" s="57">
        <f t="shared" si="0"/>
        <v>17920</v>
      </c>
    </row>
    <row r="25" spans="1:6" ht="51">
      <c r="A25" s="54">
        <v>23</v>
      </c>
      <c r="B25" s="55" t="str">
        <f>Item23!B3</f>
        <v>Grampo para grampeador de 23/8
Em aço;
Tratamento superficial: niquelado,
Caixa com 5.000 unidades</v>
      </c>
      <c r="C25" s="54" t="str">
        <f>Item23!C3</f>
        <v>cx</v>
      </c>
      <c r="D25" s="54">
        <f>Item23!D3</f>
        <v>250</v>
      </c>
      <c r="E25" s="56">
        <f>Item23!E3</f>
        <v>15.69</v>
      </c>
      <c r="F25" s="57">
        <f t="shared" si="0"/>
        <v>3922.5</v>
      </c>
    </row>
    <row r="26" spans="1:6" ht="89.25">
      <c r="A26" s="54">
        <v>24</v>
      </c>
      <c r="B26" s="55" t="str">
        <f>Item24!B3</f>
        <v>Perfurador para papel
Em metal pintado
2 furos redondos
Com marginador
Base em PVC
Capacidade mínima: 30 folhas de 75g/m2.
Embalado em caixa individual.</v>
      </c>
      <c r="C26" s="54" t="str">
        <f>Item24!C3</f>
        <v xml:space="preserve">un </v>
      </c>
      <c r="D26" s="54">
        <f>Item24!D3</f>
        <v>500</v>
      </c>
      <c r="E26" s="56">
        <f>Item24!E3</f>
        <v>29.5</v>
      </c>
      <c r="F26" s="57">
        <f t="shared" si="0"/>
        <v>14750</v>
      </c>
    </row>
    <row r="27" spans="1:6" ht="76.5">
      <c r="A27" s="54">
        <v>25</v>
      </c>
      <c r="B27" s="55" t="str">
        <f>Item25!B3</f>
        <v>Extrator de grampos
Para grampos 26/6
Cromado
Tipo alavanca
Comprimento mínimo: 150mm
Acondicionados em embalagens com até 50 un.</v>
      </c>
      <c r="C27" s="54" t="str">
        <f>Item25!C3</f>
        <v xml:space="preserve">un </v>
      </c>
      <c r="D27" s="54">
        <f>Item25!D3</f>
        <v>800</v>
      </c>
      <c r="E27" s="56">
        <f>Item25!E3</f>
        <v>1.77</v>
      </c>
      <c r="F27" s="57">
        <f t="shared" si="0"/>
        <v>1416</v>
      </c>
    </row>
    <row r="28" spans="1:6" ht="51">
      <c r="A28" s="54">
        <v>26</v>
      </c>
      <c r="B28" s="55" t="str">
        <f>Item26!B3</f>
        <v>Percevejo
Em metal com tratamento superficial niquelado
Tamanho: 10 mm
Acondicionado em caixas com 100 unidades</v>
      </c>
      <c r="C28" s="54" t="str">
        <f>Item26!C3</f>
        <v>cx</v>
      </c>
      <c r="D28" s="54">
        <f>Item26!D3</f>
        <v>400</v>
      </c>
      <c r="E28" s="56">
        <f>Item26!E3</f>
        <v>5.43</v>
      </c>
      <c r="F28" s="57">
        <f t="shared" si="0"/>
        <v>2172</v>
      </c>
    </row>
    <row r="29" spans="1:6" ht="63.75">
      <c r="A29" s="54">
        <v>27</v>
      </c>
      <c r="B29" s="55" t="str">
        <f>Item27!B3</f>
        <v>Régua plástica transparente,
Milimétrica,
30 cm.
Embaladas individualmente
Acondicionadas em embalagens com até 50 un.</v>
      </c>
      <c r="C29" s="54" t="str">
        <f>Item27!C3</f>
        <v xml:space="preserve">un </v>
      </c>
      <c r="D29" s="54">
        <f>Item27!D3</f>
        <v>500</v>
      </c>
      <c r="E29" s="56">
        <f>Item27!E3</f>
        <v>1.03</v>
      </c>
      <c r="F29" s="57">
        <f t="shared" si="0"/>
        <v>515</v>
      </c>
    </row>
    <row r="30" spans="1:6" ht="51">
      <c r="A30" s="54">
        <v>28</v>
      </c>
      <c r="B30" s="55" t="str">
        <f>Item28!B3</f>
        <v>Régua plástica transparente,
Comprimento: 15 cm.
Graduação centímetros/milímetros
Embaladas em pacotes ou caixas com até 100 unidades</v>
      </c>
      <c r="C30" s="54" t="str">
        <f>Item28!C3</f>
        <v xml:space="preserve">un </v>
      </c>
      <c r="D30" s="54">
        <f>Item28!D3</f>
        <v>8750</v>
      </c>
      <c r="E30" s="56">
        <f>Item28!E3</f>
        <v>2.62</v>
      </c>
      <c r="F30" s="57">
        <f t="shared" si="0"/>
        <v>22925</v>
      </c>
    </row>
    <row r="31" spans="1:6" ht="76.5">
      <c r="A31" s="54">
        <v>29</v>
      </c>
      <c r="B31" s="55" t="str">
        <f>Item29!B3</f>
        <v>Tesoura
Em aço inoxidável,
Cabo em polipropileno, na cor preta,
Comprimento: 20 cm, admitida variação de ± 1,5 cm
Embaladas individualmente em estojo plástico.
Acondicionadas em embalagens com até 50  um.</v>
      </c>
      <c r="C31" s="54" t="str">
        <f>Item29!C3</f>
        <v xml:space="preserve">un </v>
      </c>
      <c r="D31" s="54">
        <f>Item29!D3</f>
        <v>1500</v>
      </c>
      <c r="E31" s="56">
        <f>Item29!E3</f>
        <v>4.5</v>
      </c>
      <c r="F31" s="57">
        <f t="shared" si="0"/>
        <v>6750</v>
      </c>
    </row>
    <row r="32" spans="1:6" ht="63.75">
      <c r="A32" s="54">
        <v>30</v>
      </c>
      <c r="B32" s="55" t="str">
        <f>Item30!B3</f>
        <v>Elástico para dinheiro
Em látex,
Nº 18,
Pacote com 100 gramas
Acondicionadas em embalagens com até 50 pacotes.</v>
      </c>
      <c r="C32" s="54" t="str">
        <f>Item30!C3</f>
        <v>pct</v>
      </c>
      <c r="D32" s="54">
        <f>Item30!D3</f>
        <v>5000</v>
      </c>
      <c r="E32" s="56">
        <f>Item30!E3</f>
        <v>4.4000000000000004</v>
      </c>
      <c r="F32" s="57">
        <f t="shared" si="0"/>
        <v>22000</v>
      </c>
    </row>
    <row r="33" spans="1:6" ht="63.75">
      <c r="A33" s="54">
        <v>31</v>
      </c>
      <c r="B33" s="55" t="str">
        <f>Item31!B3</f>
        <v>Adesivo instantâneo
À base de cianoacrilato,
Tubo com 5g.
Validade mínima de 11 meses a contar da data de recebimento definitivo.
Acondicionados em embalagem individual</v>
      </c>
      <c r="C33" s="54" t="str">
        <f>Item31!C3</f>
        <v xml:space="preserve">un </v>
      </c>
      <c r="D33" s="54">
        <f>Item31!D3</f>
        <v>300</v>
      </c>
      <c r="E33" s="56">
        <f>Item31!E3</f>
        <v>8.74</v>
      </c>
      <c r="F33" s="57">
        <f t="shared" si="0"/>
        <v>2622</v>
      </c>
    </row>
    <row r="34" spans="1:6" ht="76.5">
      <c r="A34" s="54">
        <v>32</v>
      </c>
      <c r="B34" s="55" t="str">
        <f>Item32!B3</f>
        <v>Cola branca,
À base de PVA
Tipo escolar;
Bisnaga com 40g
Validade mínima de 18 meses contados da data de recebimento definitivo.
Acondicionadas em caixas com até 50 unidades.</v>
      </c>
      <c r="C34" s="54" t="str">
        <f>Item32!C3</f>
        <v xml:space="preserve">un </v>
      </c>
      <c r="D34" s="54">
        <f>Item32!D3</f>
        <v>10500</v>
      </c>
      <c r="E34" s="56">
        <f>Item32!E3</f>
        <v>1.95</v>
      </c>
      <c r="F34" s="57">
        <f t="shared" si="0"/>
        <v>20475</v>
      </c>
    </row>
    <row r="35" spans="1:6" ht="63.75">
      <c r="A35" s="54">
        <v>33</v>
      </c>
      <c r="B35" s="55" t="str">
        <f>Item33!B3</f>
        <v>Corretivo fita
Seco
Corpo em acrílico transparente.
Dimensões: Largura: 4 a 6mm x Comprimento: 6 a 8m
Acondicionado em caixas com até 50 unidades.</v>
      </c>
      <c r="C35" s="54" t="str">
        <f>Item33!C3</f>
        <v xml:space="preserve">un </v>
      </c>
      <c r="D35" s="54">
        <f>Item33!D3</f>
        <v>1000</v>
      </c>
      <c r="E35" s="56">
        <f>Item33!E3</f>
        <v>3.37</v>
      </c>
      <c r="F35" s="57">
        <f t="shared" si="0"/>
        <v>3370</v>
      </c>
    </row>
    <row r="36" spans="1:6" ht="102">
      <c r="A36" s="54">
        <v>34</v>
      </c>
      <c r="B36" s="55" t="str">
        <f>Item34!B3</f>
        <v>Estilete
Invólucro em plástico resistente
Lâmina retrátil em aço,
Comprimento mínimo: 18 cm
Com sistema de travamento
Encaixe por pressão
Embalados individualmente,
Acondicionados em embalagem com até 50 un.</v>
      </c>
      <c r="C36" s="54" t="str">
        <f>Item34!C3</f>
        <v xml:space="preserve">un </v>
      </c>
      <c r="D36" s="54">
        <f>Item34!D3</f>
        <v>3000</v>
      </c>
      <c r="E36" s="56">
        <f>Item34!E3</f>
        <v>1.53</v>
      </c>
      <c r="F36" s="57">
        <f t="shared" si="0"/>
        <v>4590</v>
      </c>
    </row>
    <row r="37" spans="1:6" ht="63.75">
      <c r="A37" s="54">
        <v>35</v>
      </c>
      <c r="B37" s="55" t="str">
        <f>Item35!B3</f>
        <v>Clips nº 1
Em aço inox;
Tratamento superficial: niquelado,
Caixa com 100 unidades
Embaladas em embalagem de papelão com até 100 un.</v>
      </c>
      <c r="C37" s="54" t="str">
        <f>Item35!C3</f>
        <v>cx</v>
      </c>
      <c r="D37" s="54">
        <f>Item35!D3</f>
        <v>5000</v>
      </c>
      <c r="E37" s="56">
        <f>Item35!E3</f>
        <v>3.32</v>
      </c>
      <c r="F37" s="57">
        <f t="shared" si="0"/>
        <v>16600</v>
      </c>
    </row>
    <row r="38" spans="1:6" ht="63.75">
      <c r="A38" s="54">
        <v>36</v>
      </c>
      <c r="B38" s="55" t="str">
        <f>Item36!B3</f>
        <v>Clips nº 6
Em aço inox;
Tratamento superficial: niquelado,
Caixa com 50 unidades
Embaladas em embalagem de papelão com até 100 un.</v>
      </c>
      <c r="C38" s="54" t="str">
        <f>Item36!C3</f>
        <v>cx</v>
      </c>
      <c r="D38" s="54">
        <f>Item36!D3</f>
        <v>5000</v>
      </c>
      <c r="E38" s="56">
        <f>Item36!E3</f>
        <v>5.82</v>
      </c>
      <c r="F38" s="57">
        <f t="shared" si="0"/>
        <v>29100</v>
      </c>
    </row>
    <row r="39" spans="1:6" ht="51">
      <c r="A39" s="54">
        <v>37</v>
      </c>
      <c r="B39" s="55" t="str">
        <f>Item37!B3</f>
        <v>Papel alcalino no formato A4 (210x297mm),
Cor branca,
Gramatura: 75g/m2,
Para impressora a laser</v>
      </c>
      <c r="C39" s="54" t="str">
        <f>Item37!C3</f>
        <v>rm</v>
      </c>
      <c r="D39" s="54">
        <f>Item37!D3</f>
        <v>3421</v>
      </c>
      <c r="E39" s="56">
        <f>Item37!E3</f>
        <v>23.38</v>
      </c>
      <c r="F39" s="57">
        <f t="shared" si="0"/>
        <v>79982.98</v>
      </c>
    </row>
    <row r="40" spans="1:6" ht="51">
      <c r="A40" s="54">
        <v>38</v>
      </c>
      <c r="B40" s="55" t="str">
        <f>Item38!B3</f>
        <v>Papel alcalino no formato A4 (210x297mm),
Cor branca,
Gramatura: 90g/m2,
Para impressora a laser</v>
      </c>
      <c r="C40" s="54" t="str">
        <f>Item38!C3</f>
        <v>rm</v>
      </c>
      <c r="D40" s="54">
        <f>Item38!D3</f>
        <v>100</v>
      </c>
      <c r="E40" s="56">
        <f>Item38!E3</f>
        <v>25.16</v>
      </c>
      <c r="F40" s="57">
        <f t="shared" si="0"/>
        <v>2516</v>
      </c>
    </row>
    <row r="41" spans="1:6" ht="63.75">
      <c r="A41" s="54">
        <v>39</v>
      </c>
      <c r="B41" s="55" t="str">
        <f>Item39!B3</f>
        <v>Papel Vergê no formato A4 (210x297mm)
Cor branca,
Gramatura: 180g/m²
Para impressora a laser
Pacotes com 50 fls.</v>
      </c>
      <c r="C41" s="54" t="str">
        <f>Item39!C3</f>
        <v>pct</v>
      </c>
      <c r="D41" s="54">
        <f>Item39!D3</f>
        <v>5000</v>
      </c>
      <c r="E41" s="56">
        <f>Item39!E3</f>
        <v>13.2</v>
      </c>
      <c r="F41" s="57">
        <f t="shared" si="0"/>
        <v>66000</v>
      </c>
    </row>
    <row r="42" spans="1:6" ht="38.25">
      <c r="A42" s="54">
        <v>40</v>
      </c>
      <c r="B42" s="55" t="str">
        <f>Item40!B3</f>
        <v>Papel alcalino no formato A3 (297 x 420mm),
Cor branca, alta alvura
Gramatura: 75g/m²</v>
      </c>
      <c r="C42" s="54" t="str">
        <f>Item40!C3</f>
        <v>rm</v>
      </c>
      <c r="D42" s="54">
        <f>Item40!D3</f>
        <v>200</v>
      </c>
      <c r="E42" s="56">
        <f>Item40!E3</f>
        <v>40.770000000000003</v>
      </c>
      <c r="F42" s="57">
        <f t="shared" si="0"/>
        <v>8154.0000000000009</v>
      </c>
    </row>
    <row r="43" spans="1:6" ht="38.25">
      <c r="A43" s="54">
        <v>41</v>
      </c>
      <c r="B43" s="55" t="str">
        <f>Item41!B3</f>
        <v>Papel Couchê Brilhante no formato A3 (297x420mm)
Cor Branca
Gramatura: 150 g/m²</v>
      </c>
      <c r="C43" s="54" t="str">
        <f>Item41!C3</f>
        <v>fl</v>
      </c>
      <c r="D43" s="54">
        <f>Item41!D3</f>
        <v>2000</v>
      </c>
      <c r="E43" s="56">
        <f>Item41!E3</f>
        <v>2.12</v>
      </c>
      <c r="F43" s="57">
        <f t="shared" si="0"/>
        <v>4240</v>
      </c>
    </row>
    <row r="44" spans="1:6" ht="63.75">
      <c r="A44" s="54">
        <v>42</v>
      </c>
      <c r="B44" s="55" t="str">
        <f>Item42!B3</f>
        <v>Pasta em PVC
Transparente,
Dimensões: 340 x 240 mm, admitidas variações de ±20mm
Com canaleta plástica.
Acondicionadas em embalagens com até 50 unidades</v>
      </c>
      <c r="C44" s="54" t="str">
        <f>Item42!C3</f>
        <v xml:space="preserve">un </v>
      </c>
      <c r="D44" s="54">
        <f>Item42!D3</f>
        <v>3000</v>
      </c>
      <c r="E44" s="56">
        <f>Item42!E3</f>
        <v>3.29</v>
      </c>
      <c r="F44" s="57">
        <f t="shared" si="0"/>
        <v>9870</v>
      </c>
    </row>
    <row r="45" spans="1:6" ht="76.5">
      <c r="A45" s="54">
        <v>43</v>
      </c>
      <c r="B45" s="55" t="str">
        <f>Item43!B3</f>
        <v>Pasta em PVC transparente,
Com abas e elástico
Tratamento texturizado
Dimensões: 240 x 350 mm (largura x altura), admitidas variações de ± 10 mm.
Cor vermelha;
Acondicionadas em embalagens com até 50 unidades</v>
      </c>
      <c r="C45" s="54" t="str">
        <f>Item43!C3</f>
        <v xml:space="preserve">un </v>
      </c>
      <c r="D45" s="54">
        <f>Item43!D3</f>
        <v>2000</v>
      </c>
      <c r="E45" s="56">
        <f>Item43!E3</f>
        <v>2.71</v>
      </c>
      <c r="F45" s="57">
        <f t="shared" si="0"/>
        <v>5420</v>
      </c>
    </row>
    <row r="46" spans="1:6" ht="76.5">
      <c r="A46" s="54">
        <v>44</v>
      </c>
      <c r="B46" s="55" t="str">
        <f>Item44!B3</f>
        <v>Pasta em PVC transparente,
Com abas e elástico
Tratamento texturizado
Formato: 240 x 350 mm (largura x altura), admitidas variações de ± 10 mm.
Cor fumê;
Acondicionadas em embalagens com até 50 unidades</v>
      </c>
      <c r="C46" s="54" t="str">
        <f>Item44!C3</f>
        <v xml:space="preserve">un </v>
      </c>
      <c r="D46" s="54">
        <f>Item44!D3</f>
        <v>2000</v>
      </c>
      <c r="E46" s="56">
        <f>Item44!E3</f>
        <v>3.92</v>
      </c>
      <c r="F46" s="57">
        <f t="shared" si="0"/>
        <v>7840</v>
      </c>
    </row>
    <row r="47" spans="1:6" ht="89.25">
      <c r="A47" s="54">
        <v>45</v>
      </c>
      <c r="B47" s="55" t="str">
        <f>Item45!B3</f>
        <v>Pasta registradora A/Z
Dorso fino;
Com orifício reforçado com ilhós em PVC,
Capa dura com tratamento superficial plastificado em ambas as faces,
Ferragem de dois ganchos com tratamento superficial niquelado.
Fixador interno em PVC
Acondicionadas em caixas com até 30 unidades</v>
      </c>
      <c r="C47" s="54" t="str">
        <f>Item45!C3</f>
        <v xml:space="preserve">un </v>
      </c>
      <c r="D47" s="54">
        <f>Item45!D3</f>
        <v>2000</v>
      </c>
      <c r="E47" s="56">
        <f>Item45!E3</f>
        <v>10.51</v>
      </c>
      <c r="F47" s="57">
        <f t="shared" si="0"/>
        <v>21020</v>
      </c>
    </row>
    <row r="48" spans="1:6" ht="89.25">
      <c r="A48" s="54">
        <v>46</v>
      </c>
      <c r="B48" s="55" t="str">
        <f>Item46!B3</f>
        <v>Pasta registradora A/Z
Dorso largo;
Com orifício reforçado com ilhós em PVC,
Capa dura com tratamento superficial plastificado em ambas as faces,
Ferragem de dois ganchos com tratamento superficial niquelado.
Fixador interno em PVC
Acondicionadas em caixas com até 20 unidades</v>
      </c>
      <c r="C48" s="54" t="str">
        <f>Item46!C3</f>
        <v xml:space="preserve">un </v>
      </c>
      <c r="D48" s="54">
        <f>Item46!D3</f>
        <v>2000</v>
      </c>
      <c r="E48" s="56">
        <f>Item46!E3</f>
        <v>11.26</v>
      </c>
      <c r="F48" s="57">
        <f t="shared" si="0"/>
        <v>22520</v>
      </c>
    </row>
    <row r="49" spans="1:6" ht="51">
      <c r="A49" s="54">
        <v>47</v>
      </c>
      <c r="B49" s="55" t="str">
        <f>Item47!B3</f>
        <v>Pasta suspensa marmorizada
Cartão duplo,
Com etiqueta e plástico para a identificação, e prendedores plásticos.
Acondicionada em embalagens com até 50 unidades</v>
      </c>
      <c r="C49" s="54" t="str">
        <f>Item47!C3</f>
        <v xml:space="preserve">un </v>
      </c>
      <c r="D49" s="54">
        <f>Item47!D3</f>
        <v>5000</v>
      </c>
      <c r="E49" s="56">
        <f>Item47!E3</f>
        <v>4.1900000000000004</v>
      </c>
      <c r="F49" s="57">
        <f t="shared" si="0"/>
        <v>20950.000000000004</v>
      </c>
    </row>
    <row r="50" spans="1:6" ht="63.75">
      <c r="A50" s="54">
        <v>48</v>
      </c>
      <c r="B50" s="55" t="str">
        <f>Item48!B3</f>
        <v>Prancheta
Material: MDP ou MDF
Tamanho: Ofício ou A4
Dimensões: 340 x 230 mm - podendo variar em + 1,0cm
Prendedor de metal ou plástico</v>
      </c>
      <c r="C50" s="54" t="str">
        <f>Item48!C3</f>
        <v xml:space="preserve">un </v>
      </c>
      <c r="D50" s="54">
        <f>Item48!D3</f>
        <v>1000</v>
      </c>
      <c r="E50" s="56">
        <f>Item48!E3</f>
        <v>4.5</v>
      </c>
      <c r="F50" s="57">
        <f t="shared" si="0"/>
        <v>4500</v>
      </c>
    </row>
    <row r="51" spans="1:6" ht="51">
      <c r="A51" s="54">
        <v>49</v>
      </c>
      <c r="B51" s="55" t="str">
        <f>Item49!B3</f>
        <v>Numerador Metálico de 06 dígitos
Altura de números: 05 mm
Repetições: 0,1,2,3,4,6,12
Construção: metálica</v>
      </c>
      <c r="C51" s="54" t="str">
        <f>Item49!C3</f>
        <v xml:space="preserve">un </v>
      </c>
      <c r="D51" s="54">
        <f>Item49!D3</f>
        <v>10</v>
      </c>
      <c r="E51" s="56">
        <f>Item49!E3</f>
        <v>270.56</v>
      </c>
      <c r="F51" s="57">
        <f t="shared" si="0"/>
        <v>2705.6</v>
      </c>
    </row>
    <row r="52" spans="1:6" ht="51">
      <c r="A52" s="54">
        <v>50</v>
      </c>
      <c r="B52" s="55" t="str">
        <f>Item50!B3</f>
        <v>Refil para numerador automático de 6 dígitos
Compatível com o item 49.
Acondicionados em embalagem com até 5 unidades
Prazo de validade não inferior a 6 meses, contados da data do recebimento definitivo</v>
      </c>
      <c r="C52" s="54" t="str">
        <f>Item50!C3</f>
        <v xml:space="preserve">un </v>
      </c>
      <c r="D52" s="54">
        <f>Item50!D3</f>
        <v>20</v>
      </c>
      <c r="E52" s="56">
        <f>Item50!E3</f>
        <v>7.22</v>
      </c>
      <c r="F52" s="57">
        <f t="shared" si="0"/>
        <v>144.4</v>
      </c>
    </row>
    <row r="53" spans="1:6" ht="89.25">
      <c r="A53" s="54">
        <v>51</v>
      </c>
      <c r="B53" s="58" t="str">
        <f>Item51!B3</f>
        <v>Porta diploma
Tamanho 26 x 35,5 cm
Dobra horizontal
Impressão do Brasão da República
Acartonado preto com impressão  4 x 0 cores
Acabamento interno em papel fosco e quatro alças em tecido para suporte
Obrigatória a apresentação de amostras</v>
      </c>
      <c r="C53" s="54" t="str">
        <f>Item51!C3</f>
        <v xml:space="preserve">un </v>
      </c>
      <c r="D53" s="54">
        <f>Item51!D3</f>
        <v>500</v>
      </c>
      <c r="E53" s="56">
        <f>Item51!E3</f>
        <v>43.64</v>
      </c>
      <c r="F53" s="57">
        <f t="shared" si="0"/>
        <v>21820</v>
      </c>
    </row>
    <row r="54" spans="1:6" ht="76.5">
      <c r="A54" s="54">
        <v>52</v>
      </c>
      <c r="B54" s="58" t="str">
        <f>Item52!B3</f>
        <v>Umedecedor de dedo em pasta
Com glicerina, não tóxico e que não manche
Com CRQ do químico responsável impresso na embalagem e/ou no rótulo
Peso líquido de 12g
Validade mínima de 6 (seis) meses
Acondicionado em caixas com 10 unidades</v>
      </c>
      <c r="C54" s="54" t="str">
        <f>Item52!C3</f>
        <v xml:space="preserve">un </v>
      </c>
      <c r="D54" s="54">
        <f>Item52!D3</f>
        <v>300</v>
      </c>
      <c r="E54" s="56">
        <f>Item52!E3</f>
        <v>2.4500000000000002</v>
      </c>
      <c r="F54" s="57">
        <f t="shared" si="0"/>
        <v>735</v>
      </c>
    </row>
    <row r="55" spans="1:6" ht="127.5">
      <c r="A55" s="43">
        <v>53</v>
      </c>
      <c r="B55" s="47" t="str">
        <f>Item53!B3</f>
        <v>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55" s="43" t="str">
        <f>Item53!C3</f>
        <v>cx</v>
      </c>
      <c r="D55" s="43">
        <f>Item53!D3</f>
        <v>3750</v>
      </c>
      <c r="E55" s="45">
        <f>Item53!E3</f>
        <v>35.86</v>
      </c>
      <c r="F55" s="52">
        <f t="shared" si="0"/>
        <v>134475</v>
      </c>
    </row>
    <row r="56" spans="1:6" ht="114.75">
      <c r="A56" s="43">
        <v>54</v>
      </c>
      <c r="B56" s="47" t="str">
        <f>Item54!B3</f>
        <v>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v>
      </c>
      <c r="C56" s="43" t="str">
        <f>Item54!C3</f>
        <v>pc</v>
      </c>
      <c r="D56" s="43">
        <f>Item54!D3</f>
        <v>1500</v>
      </c>
      <c r="E56" s="45">
        <f>Item54!E3</f>
        <v>51.06</v>
      </c>
      <c r="F56" s="52">
        <f t="shared" si="0"/>
        <v>76590</v>
      </c>
    </row>
    <row r="57" spans="1:6" ht="51">
      <c r="A57" s="43">
        <v>55</v>
      </c>
      <c r="B57" s="47" t="str">
        <f>Item55!B3</f>
        <v>Régua plástica transparente,
Comprimento: 15 cm.
Graduação centímetros/milímetros
Embaladas em pacotes ou caixas com até 100 unidades</v>
      </c>
      <c r="C57" s="43" t="str">
        <f>Item55!C3</f>
        <v xml:space="preserve">un </v>
      </c>
      <c r="D57" s="43">
        <f>Item55!D3</f>
        <v>26250</v>
      </c>
      <c r="E57" s="45">
        <f>Item55!E3</f>
        <v>2.62</v>
      </c>
      <c r="F57" s="52">
        <f t="shared" si="0"/>
        <v>68775</v>
      </c>
    </row>
    <row r="58" spans="1:6" ht="51">
      <c r="A58" s="43">
        <v>56</v>
      </c>
      <c r="B58" s="47" t="str">
        <f>Item56!B3</f>
        <v>Papel alcalino no formato A4 (210x297mm),
Cor branca,
Gramatura: 75g/m2,
Para impressora a laser</v>
      </c>
      <c r="C58" s="43" t="str">
        <f>Item56!C3</f>
        <v>rm</v>
      </c>
      <c r="D58" s="43">
        <f>Item56!D3</f>
        <v>26579</v>
      </c>
      <c r="E58" s="45">
        <f>Item56!E3</f>
        <v>23.38</v>
      </c>
      <c r="F58" s="52">
        <f t="shared" ref="F58" si="1">IFERROR((ROUND(E58,2)*D58),"sem preço estimado")</f>
        <v>621417.02</v>
      </c>
    </row>
    <row r="59" spans="1:6" ht="15.75">
      <c r="A59" s="40"/>
      <c r="B59" s="40"/>
      <c r="C59" s="85" t="s">
        <v>19</v>
      </c>
      <c r="D59" s="86"/>
      <c r="E59" s="87"/>
      <c r="F59" s="53">
        <f>SUM(F3:F58)</f>
        <v>1678741.4</v>
      </c>
    </row>
  </sheetData>
  <mergeCells count="2">
    <mergeCell ref="A1:F1"/>
    <mergeCell ref="C59:E59"/>
  </mergeCells>
  <pageMargins left="0.51181102362204722" right="0.51181102362204722" top="1.1417322834645669" bottom="0.78740157480314965" header="0.31496062992125984" footer="0.31496062992125984"/>
  <pageSetup paperSize="9" scale="90" fitToHeight="0" orientation="landscape" r:id="rId1"/>
  <headerFooter>
    <oddHeader>&amp;C&amp;G</oddHeader>
    <oddFooter>&amp;LEstimativa em &amp;D</oddFooter>
  </headerFooter>
  <legacyDrawingHF r:id="rId2"/>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9"/>
  <sheetViews>
    <sheetView view="pageBreakPreview" zoomScaleNormal="100" zoomScaleSheetLayoutView="100" workbookViewId="0">
      <selection activeCell="G59" sqref="G59"/>
    </sheetView>
  </sheetViews>
  <sheetFormatPr defaultRowHeight="12.75"/>
  <cols>
    <col min="1" max="1" width="9.140625" style="1"/>
    <col min="2" max="3" width="45.7109375" style="1" customWidth="1"/>
    <col min="4" max="5" width="13.28515625" style="46" customWidth="1"/>
    <col min="6" max="6" width="13.28515625" style="49" customWidth="1"/>
    <col min="7" max="7" width="17.42578125" style="1" bestFit="1" customWidth="1"/>
    <col min="8" max="15" width="9.140625" style="2"/>
    <col min="16" max="16384" width="9.140625" style="1"/>
  </cols>
  <sheetData>
    <row r="1" spans="1:7" s="2" customFormat="1" ht="15.75">
      <c r="A1" s="84" t="s">
        <v>20</v>
      </c>
      <c r="B1" s="84"/>
      <c r="C1" s="88"/>
      <c r="D1" s="84"/>
      <c r="E1" s="84"/>
      <c r="F1" s="84"/>
      <c r="G1" s="84"/>
    </row>
    <row r="2" spans="1:7" s="2" customFormat="1" ht="25.5">
      <c r="A2" s="42" t="s">
        <v>14</v>
      </c>
      <c r="B2" s="42" t="s">
        <v>15</v>
      </c>
      <c r="C2" s="50" t="s">
        <v>194</v>
      </c>
      <c r="D2" s="42" t="s">
        <v>16</v>
      </c>
      <c r="E2" s="42" t="s">
        <v>17</v>
      </c>
      <c r="F2" s="48" t="s">
        <v>12</v>
      </c>
      <c r="G2" s="42" t="s">
        <v>18</v>
      </c>
    </row>
    <row r="3" spans="1:7" s="2" customFormat="1" ht="178.5">
      <c r="A3" s="43">
        <v>1</v>
      </c>
      <c r="B3" s="44" t="str">
        <f>Item1!B3</f>
        <v>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3" s="51" t="str">
        <f>Item1!G20</f>
        <v>GRAFICA LUAR EDITORA E PAPELARIA LTDA</v>
      </c>
      <c r="D3" s="43" t="str">
        <f>Item1!C3</f>
        <v>cx</v>
      </c>
      <c r="E3" s="43">
        <f>Item1!D3</f>
        <v>1250</v>
      </c>
      <c r="F3" s="45">
        <f>Item1!F3</f>
        <v>21.65</v>
      </c>
      <c r="G3" s="45">
        <f t="shared" ref="G3:G34" si="0">(ROUND(F3,2)*E3)</f>
        <v>27062.5</v>
      </c>
    </row>
    <row r="4" spans="1:7" ht="127.5" customHeight="1">
      <c r="A4" s="43">
        <v>2</v>
      </c>
      <c r="B4" s="44" t="str">
        <f>Item2!B3</f>
        <v>Caneta esferográfica
Cor vermelha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4" s="51" t="str">
        <f>Item2!G20</f>
        <v>LICITATEC COMERCIO LTDA</v>
      </c>
      <c r="D4" s="43" t="str">
        <f>Item2!C3</f>
        <v>cx</v>
      </c>
      <c r="E4" s="43">
        <f>Item2!D3</f>
        <v>300</v>
      </c>
      <c r="F4" s="45">
        <f>Item2!F3</f>
        <v>22.41</v>
      </c>
      <c r="G4" s="45">
        <f t="shared" si="0"/>
        <v>6723</v>
      </c>
    </row>
    <row r="5" spans="1:7" ht="127.5" customHeight="1">
      <c r="A5" s="43">
        <v>3</v>
      </c>
      <c r="B5" s="44" t="str">
        <f>Item3!B3</f>
        <v>Etiqueta auto adesiva
Folha em formato A4;
Gramatura 75 g/m2
Papel couchê removível;
Cor branca,
Folha contendo 1 etiqueta
Acondicionadas em pacotes com 25 folhas</v>
      </c>
      <c r="C5" s="51" t="str">
        <f>Item3!G20</f>
        <v>PAPELARIA BLAU</v>
      </c>
      <c r="D5" s="43" t="str">
        <f>Item3!C3</f>
        <v>fl</v>
      </c>
      <c r="E5" s="43">
        <f>Item3!D3</f>
        <v>2500</v>
      </c>
      <c r="F5" s="45">
        <f>Item3!F3</f>
        <v>13</v>
      </c>
      <c r="G5" s="45">
        <f t="shared" si="0"/>
        <v>32500</v>
      </c>
    </row>
    <row r="6" spans="1:7" ht="114.75">
      <c r="A6" s="43">
        <v>4</v>
      </c>
      <c r="B6" s="44" t="str">
        <f>Item4!B3</f>
        <v>Etiqueta auto adesiva
Folha em formato carta;
Gramatura 75 g/m2
Cor branca fosca,
06 (seis) etiquetas de tamanho 84,7 x 101,6mm por folha
Acondicionadas em pacotes com 25 folhas, embaladas em plástico transparente. Pacotes acondicionados em caixas.</v>
      </c>
      <c r="C6" s="51" t="str">
        <f>Item4!G20</f>
        <v>PAPELARIA BLAU</v>
      </c>
      <c r="D6" s="43" t="str">
        <f>Item4!C3</f>
        <v>pc</v>
      </c>
      <c r="E6" s="43">
        <f>Item4!D3</f>
        <v>4000</v>
      </c>
      <c r="F6" s="45">
        <f>Item4!F3</f>
        <v>12.29</v>
      </c>
      <c r="G6" s="45">
        <f t="shared" si="0"/>
        <v>49160</v>
      </c>
    </row>
    <row r="7" spans="1:7" ht="127.5">
      <c r="A7" s="43">
        <v>5</v>
      </c>
      <c r="B7" s="44" t="str">
        <f>Item5!B3</f>
        <v>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v>
      </c>
      <c r="C7" s="51" t="str">
        <f>Item5!G20</f>
        <v xml:space="preserve">EXCLUSIVA COMERCIO E SERVICOS, PAPELARIA E INFORMATICA LTDA </v>
      </c>
      <c r="D7" s="43" t="str">
        <f>Item5!C3</f>
        <v>pc</v>
      </c>
      <c r="E7" s="43">
        <f>Item5!D3</f>
        <v>500</v>
      </c>
      <c r="F7" s="45">
        <f>Item5!F3</f>
        <v>38.450000000000003</v>
      </c>
      <c r="G7" s="45">
        <f t="shared" si="0"/>
        <v>19225</v>
      </c>
    </row>
    <row r="8" spans="1:7" ht="165.75">
      <c r="A8" s="43">
        <v>6</v>
      </c>
      <c r="B8" s="44" t="str">
        <f>Item6!B3</f>
        <v>Etiqueta Auto adesiva
com adesivo a base de resina de borracha para impressora térmica – Modelo Zebra ou Datamax.
Papel couchê
Dimensões:104mm de largura x 145 mm de altura x 1 coluna.
Tipo: lacre
A distância entre uma etiqueta e outra é de 2,7 mm. As etiquetas vêm em bobina.
Rolo com, no mínimo, 240  etiquetas
Acondicionadas em embalagem de papelão reciclável
Prazo de validade não inferior a 11 meses, contados do recebimento definitivo</v>
      </c>
      <c r="C8" s="51" t="str">
        <f>Item6!G20</f>
        <v>D &amp; W COMERCIO E SERVICOS</v>
      </c>
      <c r="D8" s="43" t="str">
        <f>Item6!C3</f>
        <v>rl</v>
      </c>
      <c r="E8" s="43">
        <f>Item6!D3</f>
        <v>25</v>
      </c>
      <c r="F8" s="45">
        <f>Item6!F3</f>
        <v>86.4</v>
      </c>
      <c r="G8" s="45">
        <f t="shared" si="0"/>
        <v>2160</v>
      </c>
    </row>
    <row r="9" spans="1:7" ht="153">
      <c r="A9" s="43">
        <v>7</v>
      </c>
      <c r="B9" s="44" t="str">
        <f>Item7!B3</f>
        <v>Etiqueta auto adesiva
Apresentação: bobina
Papel couchê
Dimensões: 2,5cm x 6,00cm
Tipo: lacre
Com picote de segurança
Rolo com, no mínimo, 1.000 (mil) etiquetas
Tubete de 3” (três polegadas)
Compatível com a impressora marca Zebra Cashway
Acondicionadas em embalagem de papelão reciclável
Prazo de validade não inferior a 11 meses, contados do recebimento definitivo</v>
      </c>
      <c r="C9" s="51" t="str">
        <f>Item7!G20</f>
        <v>D &amp; W COMERCIO E SERVICOS</v>
      </c>
      <c r="D9" s="43" t="str">
        <f>Item7!C3</f>
        <v>rl</v>
      </c>
      <c r="E9" s="43">
        <f>Item7!D3</f>
        <v>100</v>
      </c>
      <c r="F9" s="45">
        <f>Item7!F3</f>
        <v>104.4</v>
      </c>
      <c r="G9" s="45">
        <f t="shared" si="0"/>
        <v>10440</v>
      </c>
    </row>
    <row r="10" spans="1:7" ht="140.25">
      <c r="A10" s="43">
        <v>8</v>
      </c>
      <c r="B10" s="44" t="str">
        <f>Item8!B3</f>
        <v>Bloco de anotações
 Confeccionado em papel alcalino de gramatura 75 g/m2, na cor branca    
  Dimensões: 21 x 14,5 cm, admitidas variações de ± 1 cm.
 Com brasão da República
 Inscrição em cor preta conforme modelo disponível na Seção de Gestão de Almoxarifado do TRE-BA.
 50 folhas
Acondicionados em pacotes com 10 unidades.</v>
      </c>
      <c r="C10" s="51" t="str">
        <f>Item8!G20</f>
        <v>JULIANA CORREA PAZ</v>
      </c>
      <c r="D10" s="43" t="str">
        <f>Item8!C3</f>
        <v xml:space="preserve">un </v>
      </c>
      <c r="E10" s="43">
        <f>Item8!D3</f>
        <v>3000</v>
      </c>
      <c r="F10" s="45">
        <f>Item8!F3</f>
        <v>3.5</v>
      </c>
      <c r="G10" s="45">
        <f t="shared" si="0"/>
        <v>10500</v>
      </c>
    </row>
    <row r="11" spans="1:7" ht="76.5">
      <c r="A11" s="43">
        <v>9</v>
      </c>
      <c r="B11" s="44" t="str">
        <f>Item9!B3</f>
        <v>Bloco de recados
Em papel, Cor amarela,
Dimensões: 76 x 76 mm,
Com 100 folhas
Removível, Auto-adesivo
Acondicionados em caixas com 20 unidades.</v>
      </c>
      <c r="C11" s="51" t="str">
        <f>Item9!G20</f>
        <v>INTER MASTER COMERCIO DE MATERIAL DE ESCRITORIO E SERVICOS LTDA</v>
      </c>
      <c r="D11" s="43" t="str">
        <f>Item9!C3</f>
        <v xml:space="preserve">un </v>
      </c>
      <c r="E11" s="43">
        <f>Item9!D3</f>
        <v>1000</v>
      </c>
      <c r="F11" s="45">
        <f>Item9!F3</f>
        <v>1.98</v>
      </c>
      <c r="G11" s="45">
        <f t="shared" si="0"/>
        <v>1980</v>
      </c>
    </row>
    <row r="12" spans="1:7" ht="89.25">
      <c r="A12" s="43">
        <v>10</v>
      </c>
      <c r="B12" s="44" t="str">
        <f>Item10!B3</f>
        <v>Bloco de recados
Em papel, Cores variadas,
Dimensões: 38 x 50 mm,
Com 100 folhas
Removível, Auto-adesivo, pacote com 04 unidades de cores variadas
Acondicionados em caixas com 20 unidades</v>
      </c>
      <c r="C12" s="51" t="str">
        <f>Item10!G20</f>
        <v>REGINA CELIA CUNHA DE SOUSA 00641565755</v>
      </c>
      <c r="D12" s="43" t="str">
        <f>Item10!C3</f>
        <v xml:space="preserve">un </v>
      </c>
      <c r="E12" s="43">
        <f>Item10!D3</f>
        <v>1000</v>
      </c>
      <c r="F12" s="45">
        <f>Item10!F3</f>
        <v>1.65</v>
      </c>
      <c r="G12" s="45">
        <f t="shared" si="0"/>
        <v>1650</v>
      </c>
    </row>
    <row r="13" spans="1:7" ht="63.75">
      <c r="A13" s="43">
        <v>11</v>
      </c>
      <c r="B13" s="44" t="str">
        <f>Item11!B3</f>
        <v>Papel embrulho
Dimensões mínimas: 96 cm x 66 cm,
Em Kraft, Gramatura mínima 80 g/m2,
Para embalagem em geral     
Acondicionados em pacotes com até 100 folhas.</v>
      </c>
      <c r="C13" s="51" t="str">
        <f>Item11!G20</f>
        <v>FIBRAP</v>
      </c>
      <c r="D13" s="43" t="str">
        <f>Item11!C3</f>
        <v>fl</v>
      </c>
      <c r="E13" s="43">
        <f>Item11!D3</f>
        <v>3000</v>
      </c>
      <c r="F13" s="45">
        <f>Item11!F3</f>
        <v>0.85</v>
      </c>
      <c r="G13" s="45">
        <f t="shared" si="0"/>
        <v>2550</v>
      </c>
    </row>
    <row r="14" spans="1:7" ht="76.5">
      <c r="A14" s="43">
        <v>12</v>
      </c>
      <c r="B14" s="44" t="str">
        <f>Item12!B3</f>
        <v>Caneta marca-texto,
Corpo em material plástico,
Ponta em poliéster
Fluorescente, Cor amarela,
Traço de 5 mm, podendo variar para +/- 1mm
Acondicionado em caixas com 12 unidades.</v>
      </c>
      <c r="C14" s="51" t="str">
        <f>Item12!G20</f>
        <v>MUNDOWARE</v>
      </c>
      <c r="D14" s="43" t="str">
        <f>Item12!C3</f>
        <v>cx</v>
      </c>
      <c r="E14" s="43">
        <f>Item12!D3</f>
        <v>500</v>
      </c>
      <c r="F14" s="45">
        <f>Item12!F3</f>
        <v>12.26</v>
      </c>
      <c r="G14" s="45">
        <f t="shared" si="0"/>
        <v>6130</v>
      </c>
    </row>
    <row r="15" spans="1:7" ht="76.5">
      <c r="A15" s="43">
        <v>13</v>
      </c>
      <c r="B15" s="44" t="str">
        <f>Item13!B3</f>
        <v>Caneta marca-texto,
Corpo em material plástico,
Ponta em poliéster
Fluorescente, Cor verde,
Traço de 5 mm, podendo variar para +/- 1mm
Acondicionado em caixas com 12 unidades.</v>
      </c>
      <c r="C15" s="51" t="str">
        <f>Item13!G20</f>
        <v>JR PORTELLA COMERCIO DE ACESSORIOS E SERVICOS AUTOMOTIVOS LTDA</v>
      </c>
      <c r="D15" s="43" t="str">
        <f>Item13!C3</f>
        <v>cx</v>
      </c>
      <c r="E15" s="43">
        <f>Item13!D3</f>
        <v>400</v>
      </c>
      <c r="F15" s="45">
        <f>Item13!F3</f>
        <v>8.5</v>
      </c>
      <c r="G15" s="45">
        <f t="shared" si="0"/>
        <v>3400</v>
      </c>
    </row>
    <row r="16" spans="1:7" ht="38.25">
      <c r="A16" s="43">
        <v>14</v>
      </c>
      <c r="B16" s="44" t="str">
        <f>Item14!B3</f>
        <v>Marcador Permanente
Ponta chanfrada em fibra, Cor azul.
Acondicionados em caixas com 12 unidades.</v>
      </c>
      <c r="C16" s="51" t="str">
        <f>Item14!G20</f>
        <v>JULIPLAST EMBALAGENS LTDA</v>
      </c>
      <c r="D16" s="43" t="str">
        <f>Item14!C3</f>
        <v>cx</v>
      </c>
      <c r="E16" s="43">
        <f>Item14!D3</f>
        <v>800</v>
      </c>
      <c r="F16" s="45">
        <f>Item14!F3</f>
        <v>19.98</v>
      </c>
      <c r="G16" s="45">
        <f t="shared" si="0"/>
        <v>15984</v>
      </c>
    </row>
    <row r="17" spans="1:7" ht="51">
      <c r="A17" s="43">
        <v>15</v>
      </c>
      <c r="B17" s="44" t="str">
        <f>Item15!B3</f>
        <v>Borracha apagadora para lápis
Dimensões mínimas: (31 x 20 x 5) mm
Cor branca, Macia,
Acondicionadas em caixas com até 50 unidades.</v>
      </c>
      <c r="C17" s="51" t="str">
        <f>Item15!G20</f>
        <v>PAPELEX</v>
      </c>
      <c r="D17" s="43" t="str">
        <f>Item15!C3</f>
        <v xml:space="preserve">un </v>
      </c>
      <c r="E17" s="43">
        <f>Item15!D3</f>
        <v>1200</v>
      </c>
      <c r="F17" s="45">
        <f>Item15!F3</f>
        <v>0.25</v>
      </c>
      <c r="G17" s="45">
        <f t="shared" si="0"/>
        <v>300</v>
      </c>
    </row>
    <row r="18" spans="1:7" ht="76.5">
      <c r="A18" s="43">
        <v>16</v>
      </c>
      <c r="B18" s="44" t="str">
        <f>Item16!B3</f>
        <v>Marcador (pincel) para quadro branco magnético
cor azul, ponta não-retrátil, não tóxico, traço linear e sem falhas, fácil de ser apagado, ponta de 4mm e espessura da escrita 2mm, validade mínima de 1 (um) ano
Acondicionadas em caixas com 12 unidades</v>
      </c>
      <c r="C18" s="51" t="str">
        <f>Item16!G20</f>
        <v>48.843.109 TEREZINHA ZULMAR MADRIL</v>
      </c>
      <c r="D18" s="43" t="str">
        <f>Item16!C3</f>
        <v>cx</v>
      </c>
      <c r="E18" s="43">
        <f>Item16!D3</f>
        <v>10</v>
      </c>
      <c r="F18" s="45">
        <f>Item16!F3</f>
        <v>18.600000000000001</v>
      </c>
      <c r="G18" s="45">
        <f t="shared" si="0"/>
        <v>186</v>
      </c>
    </row>
    <row r="19" spans="1:7" ht="76.5">
      <c r="A19" s="43">
        <v>17</v>
      </c>
      <c r="B19" s="44" t="str">
        <f>Item17!B3</f>
        <v>Marcador (pincel) para quadro branco magnético
cor preta, ponta não-retrátil, não tóxico, traço linear e sem falhas, fácil de ser apagado, ponta de 4mm e espessura da escrita 2mm, validade mínima de 1 (um) ano
Acondicionadas em caixas com 12 unidades</v>
      </c>
      <c r="C19" s="51" t="str">
        <f>Item17!G20</f>
        <v>48.843.109 TEREZINHA ZULMAR MADRIL</v>
      </c>
      <c r="D19" s="43" t="str">
        <f>Item17!C3</f>
        <v>cx</v>
      </c>
      <c r="E19" s="43">
        <f>Item17!D3</f>
        <v>10</v>
      </c>
      <c r="F19" s="45">
        <f>Item17!F3</f>
        <v>18.600000000000001</v>
      </c>
      <c r="G19" s="45">
        <f t="shared" si="0"/>
        <v>186</v>
      </c>
    </row>
    <row r="20" spans="1:7" ht="38.25">
      <c r="A20" s="43">
        <v>18</v>
      </c>
      <c r="B20" s="44" t="str">
        <f>Item18!B3</f>
        <v>Tinta para carimbo
cor azul, em frasco com no mínimo 40ml.
Acondicionadas em caixas com 12 unidades</v>
      </c>
      <c r="C20" s="51" t="str">
        <f>Item18!G20</f>
        <v>JANDAIA</v>
      </c>
      <c r="D20" s="43" t="str">
        <f>Item18!C3</f>
        <v>cx</v>
      </c>
      <c r="E20" s="43">
        <f>Item18!D3</f>
        <v>200</v>
      </c>
      <c r="F20" s="45">
        <f>Item18!F3</f>
        <v>42.96</v>
      </c>
      <c r="G20" s="45">
        <f t="shared" si="0"/>
        <v>8592</v>
      </c>
    </row>
    <row r="21" spans="1:7" ht="63.75">
      <c r="A21" s="43">
        <v>19</v>
      </c>
      <c r="B21" s="44" t="str">
        <f>Item19!B3</f>
        <v>Almofada para carimbo
Dimensões mínimas: 5,0 x 9,0cm
Material plástico e esponja absorvente revestida em tecido
Tipo entintada, Cor Azul</v>
      </c>
      <c r="C21" s="51" t="str">
        <f>Item19!G20</f>
        <v>SUPRIMAX COMERCIAL LTDA</v>
      </c>
      <c r="D21" s="43" t="str">
        <f>Item19!C3</f>
        <v xml:space="preserve">un </v>
      </c>
      <c r="E21" s="43">
        <f>Item19!D3</f>
        <v>5000</v>
      </c>
      <c r="F21" s="45">
        <f>Item19!F3</f>
        <v>3.83</v>
      </c>
      <c r="G21" s="45">
        <f t="shared" si="0"/>
        <v>19150</v>
      </c>
    </row>
    <row r="22" spans="1:7" ht="76.5">
      <c r="A22" s="43">
        <v>20</v>
      </c>
      <c r="B22" s="44" t="str">
        <f>Item20!B3</f>
        <v>Grampeador para grampo 26/6,
Comprimento mínimo: 16 cm,
Em metal pintado
Capacidade para grampear simultaneamente, no mínimo, 20 folhas de 75g/m2 cada.
Acondicionados em caixa individual</v>
      </c>
      <c r="C22" s="51" t="str">
        <f>Item20!G20</f>
        <v>R. G. XAVIER GUIMARAES LTDA</v>
      </c>
      <c r="D22" s="43" t="str">
        <f>Item20!C3</f>
        <v xml:space="preserve">un </v>
      </c>
      <c r="E22" s="43">
        <f>Item20!D3</f>
        <v>1500</v>
      </c>
      <c r="F22" s="45">
        <f>Item20!F3</f>
        <v>9.5</v>
      </c>
      <c r="G22" s="45">
        <f t="shared" si="0"/>
        <v>14250</v>
      </c>
    </row>
    <row r="23" spans="1:7" ht="140.25">
      <c r="A23" s="43">
        <v>21</v>
      </c>
      <c r="B23" s="44" t="str">
        <f>Item21!B3</f>
        <v>Grampeador Profissional
Tipo profissional, mesa
Estrutura em metal
Capacidade para grampear simultaneamente, no mínimo, 100 folhas de 75g/m² cada
Compatível para utilização de grampos 23/8; 23/10 e 23/13
Ajuste de Profundidade
Base plástica ou emborrachada
Garantia mínima de 06 meses contados da data de recebimento</v>
      </c>
      <c r="C23" s="51" t="str">
        <f>Item21!G20</f>
        <v>RC RAMOS COMERCIO LTDA</v>
      </c>
      <c r="D23" s="43" t="str">
        <f>Item21!C3</f>
        <v xml:space="preserve">un </v>
      </c>
      <c r="E23" s="43">
        <f>Item21!D3</f>
        <v>250</v>
      </c>
      <c r="F23" s="45">
        <f>Item21!F3</f>
        <v>18.75</v>
      </c>
      <c r="G23" s="45">
        <f t="shared" si="0"/>
        <v>4687.5</v>
      </c>
    </row>
    <row r="24" spans="1:7" ht="76.5">
      <c r="A24" s="43">
        <v>22</v>
      </c>
      <c r="B24" s="44" t="str">
        <f>Item22!B3</f>
        <v>Grampo para grampeador de 26/6.
Em aço;
Tratamento superficial: niquelado,
Caixa com 1.000 unidades.
Acondicionados em embalagens de papelão com até 50 caixas.</v>
      </c>
      <c r="C24" s="51" t="str">
        <f>Item22!G20</f>
        <v>TACCUINO DISTRIBUIDORA DE MATERIAIS LTDA</v>
      </c>
      <c r="D24" s="43" t="str">
        <f>Item22!C3</f>
        <v>cx</v>
      </c>
      <c r="E24" s="43">
        <f>Item22!D3</f>
        <v>8000</v>
      </c>
      <c r="F24" s="45">
        <f>Item22!F3</f>
        <v>1.27</v>
      </c>
      <c r="G24" s="45">
        <f t="shared" si="0"/>
        <v>10160</v>
      </c>
    </row>
    <row r="25" spans="1:7" ht="51">
      <c r="A25" s="43">
        <v>23</v>
      </c>
      <c r="B25" s="44" t="str">
        <f>Item23!B3</f>
        <v>Grampo para grampeador de 23/8
Em aço;
Tratamento superficial: niquelado,
Caixa com 5.000 unidades</v>
      </c>
      <c r="C25" s="51" t="str">
        <f>Item23!G20</f>
        <v>W C SILVA LTDA</v>
      </c>
      <c r="D25" s="43" t="str">
        <f>Item23!C3</f>
        <v>cx</v>
      </c>
      <c r="E25" s="43">
        <f>Item23!D3</f>
        <v>250</v>
      </c>
      <c r="F25" s="45">
        <f>Item23!F3</f>
        <v>15.12</v>
      </c>
      <c r="G25" s="45">
        <f t="shared" si="0"/>
        <v>3780</v>
      </c>
    </row>
    <row r="26" spans="1:7" ht="89.25">
      <c r="A26" s="43">
        <v>24</v>
      </c>
      <c r="B26" s="44" t="str">
        <f>Item24!B3</f>
        <v>Perfurador para papel
Em metal pintado
2 furos redondos
Com marginador
Base em PVC
Capacidade mínima: 30 folhas de 75g/m2.
Embalado em caixa individual.</v>
      </c>
      <c r="C26" s="51" t="str">
        <f>Item24!G20</f>
        <v>MAXIMA ATACADISTA LTDA</v>
      </c>
      <c r="D26" s="43" t="str">
        <f>Item24!C3</f>
        <v xml:space="preserve">un </v>
      </c>
      <c r="E26" s="43">
        <f>Item24!D3</f>
        <v>500</v>
      </c>
      <c r="F26" s="45">
        <f>Item24!F3</f>
        <v>22</v>
      </c>
      <c r="G26" s="45">
        <f t="shared" si="0"/>
        <v>11000</v>
      </c>
    </row>
    <row r="27" spans="1:7" ht="76.5">
      <c r="A27" s="43">
        <v>25</v>
      </c>
      <c r="B27" s="44" t="str">
        <f>Item25!B3</f>
        <v>Extrator de grampos
Para grampos 26/6
Cromado
Tipo alavanca
Comprimento mínimo: 150mm
Acondicionados em embalagens com até 50 un.</v>
      </c>
      <c r="C27" s="51" t="str">
        <f>Item25!G20</f>
        <v>PAPELARIA FAVARETTO E PIMENTEL LTDA</v>
      </c>
      <c r="D27" s="43" t="str">
        <f>Item25!C3</f>
        <v xml:space="preserve">un </v>
      </c>
      <c r="E27" s="43">
        <f>Item25!D3</f>
        <v>800</v>
      </c>
      <c r="F27" s="45">
        <f>Item25!F3</f>
        <v>1.1000000000000001</v>
      </c>
      <c r="G27" s="45">
        <f t="shared" si="0"/>
        <v>880.00000000000011</v>
      </c>
    </row>
    <row r="28" spans="1:7" ht="51">
      <c r="A28" s="43">
        <v>26</v>
      </c>
      <c r="B28" s="44" t="str">
        <f>Item26!B3</f>
        <v>Percevejo
Em metal com tratamento superficial niquelado
Tamanho: 10 mm
Acondicionado em caixas com 100 unidades</v>
      </c>
      <c r="C28" s="51" t="str">
        <f>Item26!G20</f>
        <v>R DA S AGUIAR COMERCIO DE MATERIAL DE LIMPEZA LTDA</v>
      </c>
      <c r="D28" s="43" t="str">
        <f>Item26!C3</f>
        <v>cx</v>
      </c>
      <c r="E28" s="43">
        <f>Item26!D3</f>
        <v>400</v>
      </c>
      <c r="F28" s="45">
        <f>Item26!F3</f>
        <v>2.25</v>
      </c>
      <c r="G28" s="45">
        <f t="shared" si="0"/>
        <v>900</v>
      </c>
    </row>
    <row r="29" spans="1:7" ht="63.75">
      <c r="A29" s="43">
        <v>27</v>
      </c>
      <c r="B29" s="44" t="str">
        <f>Item27!B3</f>
        <v>Régua plástica transparente,
Milimétrica,
30 cm.
Embaladas individualmente
Acondicionadas em embalagens com até 50 un.</v>
      </c>
      <c r="C29" s="51" t="str">
        <f>Item27!G20</f>
        <v>LIVRARIA E PAPELARIA PRATICA LTDA</v>
      </c>
      <c r="D29" s="43" t="str">
        <f>Item27!C3</f>
        <v xml:space="preserve">un </v>
      </c>
      <c r="E29" s="43">
        <f>Item27!D3</f>
        <v>500</v>
      </c>
      <c r="F29" s="45">
        <f>Item27!F3</f>
        <v>0.74</v>
      </c>
      <c r="G29" s="45">
        <f t="shared" si="0"/>
        <v>370</v>
      </c>
    </row>
    <row r="30" spans="1:7" ht="63.75">
      <c r="A30" s="43">
        <v>28</v>
      </c>
      <c r="B30" s="44" t="str">
        <f>Item28!B3</f>
        <v>Régua plástica transparente,
Comprimento: 15 cm.
Graduação centímetros/milímetros
Embaladas em pacotes ou caixas com até 100 unidades</v>
      </c>
      <c r="C30" s="51" t="str">
        <f>Item28!G20</f>
        <v>COMERCIAL PROMOSTORE CONFECCOES LTDA</v>
      </c>
      <c r="D30" s="43" t="str">
        <f>Item28!C3</f>
        <v xml:space="preserve">un </v>
      </c>
      <c r="E30" s="43">
        <f>Item28!D3</f>
        <v>8750</v>
      </c>
      <c r="F30" s="45">
        <f>Item28!F3</f>
        <v>1.8</v>
      </c>
      <c r="G30" s="45">
        <f t="shared" si="0"/>
        <v>15750</v>
      </c>
    </row>
    <row r="31" spans="1:7" ht="76.5">
      <c r="A31" s="43">
        <v>29</v>
      </c>
      <c r="B31" s="44" t="str">
        <f>Item29!B3</f>
        <v>Tesoura
Em aço inoxidável,
Cabo em polipropileno, na cor preta,
Comprimento: 20 cm, admitida variação de ± 1,5 cm
Embaladas individualmente em estojo plástico.
Acondicionadas em embalagens com até 50  um.</v>
      </c>
      <c r="C31" s="51" t="str">
        <f>Item29!G20</f>
        <v>TACCUINO DISTRIBUIDORA DE MATERIAIS LTDA</v>
      </c>
      <c r="D31" s="43" t="str">
        <f>Item29!C3</f>
        <v xml:space="preserve">un </v>
      </c>
      <c r="E31" s="43">
        <f>Item29!D3</f>
        <v>1500</v>
      </c>
      <c r="F31" s="45">
        <f>Item29!F3</f>
        <v>1.58</v>
      </c>
      <c r="G31" s="45">
        <f t="shared" si="0"/>
        <v>2370</v>
      </c>
    </row>
    <row r="32" spans="1:7" ht="63.75">
      <c r="A32" s="43">
        <v>30</v>
      </c>
      <c r="B32" s="44" t="str">
        <f>Item30!B3</f>
        <v>Elástico para dinheiro
Em látex,
Nº 18,
Pacote com 100 gramas
Acondicionadas em embalagens com até 50 pacotes.</v>
      </c>
      <c r="C32" s="51" t="str">
        <f>Item30!G20</f>
        <v>BARBOSA MACEDO &amp; CIA LTDA</v>
      </c>
      <c r="D32" s="43" t="str">
        <f>Item30!C3</f>
        <v>pct</v>
      </c>
      <c r="E32" s="43">
        <f>Item30!D3</f>
        <v>5000</v>
      </c>
      <c r="F32" s="45">
        <f>Item30!F3</f>
        <v>2.44</v>
      </c>
      <c r="G32" s="45">
        <f t="shared" si="0"/>
        <v>12200</v>
      </c>
    </row>
    <row r="33" spans="1:7" ht="76.5">
      <c r="A33" s="43">
        <v>31</v>
      </c>
      <c r="B33" s="44" t="str">
        <f>Item31!B3</f>
        <v>Adesivo instantâneo
À base de cianoacrilato,
Tubo com 5g.
Validade mínima de 11 meses a contar da data de recebimento definitivo.
Acondicionados em embalagem individual</v>
      </c>
      <c r="C33" s="51" t="str">
        <f>Item31!G20</f>
        <v>LOJA DO MECANICO</v>
      </c>
      <c r="D33" s="43" t="str">
        <f>Item31!C3</f>
        <v xml:space="preserve">un </v>
      </c>
      <c r="E33" s="43">
        <f>Item31!D3</f>
        <v>300</v>
      </c>
      <c r="F33" s="45">
        <f>Item31!F3</f>
        <v>4.9800000000000004</v>
      </c>
      <c r="G33" s="45">
        <f t="shared" si="0"/>
        <v>1494.0000000000002</v>
      </c>
    </row>
    <row r="34" spans="1:7" ht="89.25">
      <c r="A34" s="43">
        <v>32</v>
      </c>
      <c r="B34" s="44" t="str">
        <f>Item32!B3</f>
        <v>Cola branca,
À base de PVA
Tipo escolar;
Bisnaga com 40g
Validade mínima de 18 meses contados da data de recebimento definitivo.
Acondicionadas em caixas com até 50 unidades.</v>
      </c>
      <c r="C34" s="51" t="str">
        <f>Item32!G20</f>
        <v>PAPELEX</v>
      </c>
      <c r="D34" s="43" t="str">
        <f>Item32!C3</f>
        <v xml:space="preserve">un </v>
      </c>
      <c r="E34" s="43">
        <f>Item32!D3</f>
        <v>10500</v>
      </c>
      <c r="F34" s="45">
        <f>Item32!F3</f>
        <v>1.39</v>
      </c>
      <c r="G34" s="45">
        <f t="shared" si="0"/>
        <v>14594.999999999998</v>
      </c>
    </row>
    <row r="35" spans="1:7" ht="63.75">
      <c r="A35" s="43">
        <v>33</v>
      </c>
      <c r="B35" s="44" t="str">
        <f>Item33!B3</f>
        <v>Corretivo fita
Seco
Corpo em acrílico transparente.
Dimensões: Largura: 4 a 6mm x Comprimento: 6 a 8m
Acondicionado em caixas com até 50 unidades.</v>
      </c>
      <c r="C35" s="51" t="str">
        <f>Item33!G20</f>
        <v>BML COMERCIAL LTDA</v>
      </c>
      <c r="D35" s="43" t="str">
        <f>Item33!C3</f>
        <v xml:space="preserve">un </v>
      </c>
      <c r="E35" s="43">
        <f>Item33!D3</f>
        <v>1000</v>
      </c>
      <c r="F35" s="45">
        <f>Item33!F3</f>
        <v>2.8</v>
      </c>
      <c r="G35" s="45">
        <f t="shared" ref="G35:G57" si="1">(ROUND(F35,2)*E35)</f>
        <v>2800</v>
      </c>
    </row>
    <row r="36" spans="1:7" ht="102">
      <c r="A36" s="43">
        <v>34</v>
      </c>
      <c r="B36" s="44" t="str">
        <f>Item34!B3</f>
        <v>Estilete
Invólucro em plástico resistente
Lâmina retrátil em aço,
Comprimento mínimo: 18 cm
Com sistema de travamento
Encaixe por pressão
Embalados individualmente,
Acondicionados em embalagem com até 50 un.</v>
      </c>
      <c r="C36" s="51" t="str">
        <f>Item34!G20</f>
        <v>A.A. DISTRIBUICAO E IMPORTACAO DE ARTIGOS DE DECORACAO LTDA</v>
      </c>
      <c r="D36" s="43" t="str">
        <f>Item34!C3</f>
        <v xml:space="preserve">un </v>
      </c>
      <c r="E36" s="43">
        <f>Item34!D3</f>
        <v>3000</v>
      </c>
      <c r="F36" s="45">
        <f>Item34!F3</f>
        <v>1.1299999999999999</v>
      </c>
      <c r="G36" s="45">
        <f t="shared" si="1"/>
        <v>3389.9999999999995</v>
      </c>
    </row>
    <row r="37" spans="1:7" ht="63.75">
      <c r="A37" s="43">
        <v>35</v>
      </c>
      <c r="B37" s="44" t="str">
        <f>Item35!B3</f>
        <v>Clips nº 1
Em aço inox;
Tratamento superficial: niquelado,
Caixa com 100 unidades
Embaladas em embalagem de papelão com até 100 un.</v>
      </c>
      <c r="C37" s="51" t="str">
        <f>Item35!G20</f>
        <v>TAVI PAPELARIA</v>
      </c>
      <c r="D37" s="43" t="str">
        <f>Item35!C3</f>
        <v>cx</v>
      </c>
      <c r="E37" s="43">
        <f>Item35!D3</f>
        <v>5000</v>
      </c>
      <c r="F37" s="45">
        <f>Item35!F3</f>
        <v>2.6</v>
      </c>
      <c r="G37" s="45">
        <f t="shared" si="1"/>
        <v>13000</v>
      </c>
    </row>
    <row r="38" spans="1:7" ht="63.75">
      <c r="A38" s="43">
        <v>36</v>
      </c>
      <c r="B38" s="44" t="str">
        <f>Item36!B3</f>
        <v>Clips nº 6
Em aço inox;
Tratamento superficial: niquelado,
Caixa com 50 unidades
Embaladas em embalagem de papelão com até 100 un.</v>
      </c>
      <c r="C38" s="51" t="str">
        <f>Item36!G20</f>
        <v>STYLLUS DISTRIBUIDORA COMERCIO E SERVICOS LTDA</v>
      </c>
      <c r="D38" s="43" t="str">
        <f>Item36!C3</f>
        <v>cx</v>
      </c>
      <c r="E38" s="43">
        <f>Item36!D3</f>
        <v>5000</v>
      </c>
      <c r="F38" s="45">
        <f>Item36!F3</f>
        <v>3.72</v>
      </c>
      <c r="G38" s="45">
        <f t="shared" si="1"/>
        <v>18600</v>
      </c>
    </row>
    <row r="39" spans="1:7" ht="51">
      <c r="A39" s="43">
        <v>37</v>
      </c>
      <c r="B39" s="44" t="str">
        <f>Item37!B3</f>
        <v>Papel alcalino no formato A4 (210x297mm),
Cor branca,
Gramatura: 75g/m2,
Para impressora a laser</v>
      </c>
      <c r="C39" s="51" t="str">
        <f>Item37!G20</f>
        <v>FOX ELETRONICA LTDA</v>
      </c>
      <c r="D39" s="43" t="str">
        <f>Item37!C3</f>
        <v>rm</v>
      </c>
      <c r="E39" s="43">
        <f>Item37!D3</f>
        <v>3421</v>
      </c>
      <c r="F39" s="45">
        <f>Item37!F3</f>
        <v>20.5</v>
      </c>
      <c r="G39" s="45">
        <f t="shared" si="1"/>
        <v>70130.5</v>
      </c>
    </row>
    <row r="40" spans="1:7" ht="51">
      <c r="A40" s="43">
        <v>38</v>
      </c>
      <c r="B40" s="44" t="str">
        <f>Item38!B3</f>
        <v>Papel alcalino no formato A4 (210x297mm),
Cor branca,
Gramatura: 90g/m2,
Para impressora a laser</v>
      </c>
      <c r="C40" s="51" t="str">
        <f>Item38!G20</f>
        <v>MORESCO &amp; ANTUNES LTDA</v>
      </c>
      <c r="D40" s="43" t="str">
        <f>Item38!C3</f>
        <v>rm</v>
      </c>
      <c r="E40" s="43">
        <f>Item38!D3</f>
        <v>100</v>
      </c>
      <c r="F40" s="45">
        <f>Item38!F3</f>
        <v>21.41</v>
      </c>
      <c r="G40" s="45">
        <f t="shared" si="1"/>
        <v>2141</v>
      </c>
    </row>
    <row r="41" spans="1:7" ht="63.75">
      <c r="A41" s="43">
        <v>39</v>
      </c>
      <c r="B41" s="44" t="str">
        <f>Item39!B3</f>
        <v>Papel Vergê no formato A4 (210x297mm)
Cor branca,
Gramatura: 180g/m²
Para impressora a laser
Pacotes com 50 fls.</v>
      </c>
      <c r="C41" s="51" t="str">
        <f>Item39!G20</f>
        <v>50.500.191 PEDRO RUAN HOLANDA NOBRE</v>
      </c>
      <c r="D41" s="43" t="str">
        <f>Item39!C3</f>
        <v>pct</v>
      </c>
      <c r="E41" s="43">
        <f>Item39!D3</f>
        <v>5000</v>
      </c>
      <c r="F41" s="45">
        <f>Item39!F3</f>
        <v>12.27</v>
      </c>
      <c r="G41" s="45">
        <f t="shared" si="1"/>
        <v>61350</v>
      </c>
    </row>
    <row r="42" spans="1:7" ht="38.25">
      <c r="A42" s="43">
        <v>40</v>
      </c>
      <c r="B42" s="44" t="str">
        <f>Item40!B3</f>
        <v>Papel alcalino no formato A3 (297 x 420mm),
Cor branca, alta alvura
Gramatura: 75g/m²</v>
      </c>
      <c r="C42" s="51" t="str">
        <f>Item40!G20</f>
        <v>WR COMERCIO DE PAPEIS LTDA</v>
      </c>
      <c r="D42" s="43" t="str">
        <f>Item40!C3</f>
        <v>rm</v>
      </c>
      <c r="E42" s="43">
        <f>Item40!D3</f>
        <v>200</v>
      </c>
      <c r="F42" s="45">
        <f>Item40!F3</f>
        <v>29.56</v>
      </c>
      <c r="G42" s="45">
        <f t="shared" si="1"/>
        <v>5912</v>
      </c>
    </row>
    <row r="43" spans="1:7" ht="38.25">
      <c r="A43" s="43">
        <v>41</v>
      </c>
      <c r="B43" s="44" t="str">
        <f>Item41!B3</f>
        <v>Papel Couchê Brilhante no formato A3 (297x420mm)
Cor Branca
Gramatura: 150 g/m²</v>
      </c>
      <c r="C43" s="51" t="str">
        <f>Item41!G20</f>
        <v>GRAFICA ALTA DEFINICAO LTDA</v>
      </c>
      <c r="D43" s="43" t="str">
        <f>Item41!C3</f>
        <v>fl</v>
      </c>
      <c r="E43" s="43">
        <f>Item41!D3</f>
        <v>2000</v>
      </c>
      <c r="F43" s="45">
        <f>Item41!F3</f>
        <v>0.53</v>
      </c>
      <c r="G43" s="45">
        <f t="shared" si="1"/>
        <v>1060</v>
      </c>
    </row>
    <row r="44" spans="1:7" ht="76.5">
      <c r="A44" s="43">
        <v>42</v>
      </c>
      <c r="B44" s="44" t="str">
        <f>Item42!B3</f>
        <v>Pasta em PVC
Transparente,
Dimensões: 340 x 240 mm, admitidas variações de ±20mm
Com canaleta plástica.
Acondicionadas em embalagens com até 50 unidades</v>
      </c>
      <c r="C44" s="51" t="str">
        <f>Item42!G20</f>
        <v>PAPELARIA BLAU</v>
      </c>
      <c r="D44" s="43" t="str">
        <f>Item42!C3</f>
        <v xml:space="preserve">un </v>
      </c>
      <c r="E44" s="43">
        <f>Item42!D3</f>
        <v>3000</v>
      </c>
      <c r="F44" s="45">
        <f>Item42!F3</f>
        <v>2.65</v>
      </c>
      <c r="G44" s="45">
        <f t="shared" si="1"/>
        <v>7950</v>
      </c>
    </row>
    <row r="45" spans="1:7" ht="89.25">
      <c r="A45" s="43">
        <v>43</v>
      </c>
      <c r="B45" s="44" t="str">
        <f>Item43!B3</f>
        <v>Pasta em PVC transparente,
Com abas e elástico
Tratamento texturizado
Dimensões: 240 x 350 mm (largura x altura), admitidas variações de ± 10 mm.
Cor vermelha;
Acondicionadas em embalagens com até 50 unidades</v>
      </c>
      <c r="C45" s="51" t="str">
        <f>Item43!G20</f>
        <v>PAPELARIA BLAU</v>
      </c>
      <c r="D45" s="43" t="str">
        <f>Item43!C3</f>
        <v xml:space="preserve">un </v>
      </c>
      <c r="E45" s="43">
        <f>Item43!D3</f>
        <v>2000</v>
      </c>
      <c r="F45" s="45">
        <f>Item43!F3</f>
        <v>2.09</v>
      </c>
      <c r="G45" s="45">
        <f t="shared" si="1"/>
        <v>4180</v>
      </c>
    </row>
    <row r="46" spans="1:7" ht="89.25">
      <c r="A46" s="43">
        <v>44</v>
      </c>
      <c r="B46" s="44" t="str">
        <f>Item44!B3</f>
        <v>Pasta em PVC transparente,
Com abas e elástico
Tratamento texturizado
Formato: 240 x 350 mm (largura x altura), admitidas variações de ± 10 mm.
Cor fumê;
Acondicionadas em embalagens com até 50 unidades</v>
      </c>
      <c r="C46" s="51" t="str">
        <f>Item44!G20</f>
        <v>PAPELARIA BLAU</v>
      </c>
      <c r="D46" s="43" t="str">
        <f>Item44!C3</f>
        <v xml:space="preserve">un </v>
      </c>
      <c r="E46" s="43">
        <f>Item44!D3</f>
        <v>2000</v>
      </c>
      <c r="F46" s="45">
        <f>Item44!F3</f>
        <v>2.09</v>
      </c>
      <c r="G46" s="45">
        <f t="shared" si="1"/>
        <v>4180</v>
      </c>
    </row>
    <row r="47" spans="1:7" ht="114.75">
      <c r="A47" s="43">
        <v>45</v>
      </c>
      <c r="B47" s="44" t="str">
        <f>Item45!B3</f>
        <v>Pasta registradora A/Z
Dorso fino;
Com orifício reforçado com ilhós em PVC,
Capa dura com tratamento superficial plastificado em ambas as faces,
Ferragem de dois ganchos com tratamento superficial niquelado.
Fixador interno em PVC
Acondicionadas em caixas com até 30 unidades</v>
      </c>
      <c r="C47" s="51" t="str">
        <f>Item45!G20</f>
        <v>C.L.C. MAUES LTDA</v>
      </c>
      <c r="D47" s="43" t="str">
        <f>Item45!C3</f>
        <v xml:space="preserve">un </v>
      </c>
      <c r="E47" s="43">
        <f>Item45!D3</f>
        <v>2000</v>
      </c>
      <c r="F47" s="45">
        <f>Item45!F3</f>
        <v>8</v>
      </c>
      <c r="G47" s="45">
        <f t="shared" si="1"/>
        <v>16000</v>
      </c>
    </row>
    <row r="48" spans="1:7" ht="114.75">
      <c r="A48" s="43">
        <v>46</v>
      </c>
      <c r="B48" s="44" t="str">
        <f>Item46!B3</f>
        <v>Pasta registradora A/Z
Dorso largo;
Com orifício reforçado com ilhós em PVC,
Capa dura com tratamento superficial plastificado em ambas as faces,
Ferragem de dois ganchos com tratamento superficial niquelado.
Fixador interno em PVC
Acondicionadas em caixas com até 20 unidades</v>
      </c>
      <c r="C48" s="51" t="str">
        <f>Item46!G20</f>
        <v>C.L.C. MAUES LTDA</v>
      </c>
      <c r="D48" s="43" t="str">
        <f>Item46!C3</f>
        <v xml:space="preserve">un </v>
      </c>
      <c r="E48" s="43">
        <f>Item46!D3</f>
        <v>2000</v>
      </c>
      <c r="F48" s="45">
        <f>Item46!F3</f>
        <v>8</v>
      </c>
      <c r="G48" s="45">
        <f t="shared" si="1"/>
        <v>16000</v>
      </c>
    </row>
    <row r="49" spans="1:7" ht="63.75">
      <c r="A49" s="43">
        <v>47</v>
      </c>
      <c r="B49" s="44" t="str">
        <f>Item47!B3</f>
        <v>Pasta suspensa marmorizada
Cartão duplo,
Com etiqueta e plástico para a identificação, e prendedores plásticos.
Acondicionada em embalagens com até 50 unidades</v>
      </c>
      <c r="C49" s="51" t="str">
        <f>Item47!G20</f>
        <v>LER - LIVRARIA E PAPELARIA LTDA</v>
      </c>
      <c r="D49" s="43" t="str">
        <f>Item47!C3</f>
        <v xml:space="preserve">un </v>
      </c>
      <c r="E49" s="43">
        <f>Item47!D3</f>
        <v>5000</v>
      </c>
      <c r="F49" s="45">
        <f>Item47!F3</f>
        <v>2.6</v>
      </c>
      <c r="G49" s="45">
        <f t="shared" si="1"/>
        <v>13000</v>
      </c>
    </row>
    <row r="50" spans="1:7" ht="63.75">
      <c r="A50" s="43">
        <v>48</v>
      </c>
      <c r="B50" s="44" t="str">
        <f>Item48!B3</f>
        <v>Prancheta
Material: MDP ou MDF
Tamanho: Ofício ou A4
Dimensões: 340 x 230 mm - podendo variar em + 1,0cm
Prendedor de metal ou plástico</v>
      </c>
      <c r="C50" s="51" t="str">
        <f>Item48!G20</f>
        <v>RLDOK DISTRIBUIDORA DE MATERIAL E SERVICOS LTDA</v>
      </c>
      <c r="D50" s="43" t="str">
        <f>Item48!C3</f>
        <v xml:space="preserve">un </v>
      </c>
      <c r="E50" s="43">
        <f>Item48!D3</f>
        <v>1000</v>
      </c>
      <c r="F50" s="45">
        <f>Item48!F3</f>
        <v>4.0999999999999996</v>
      </c>
      <c r="G50" s="45">
        <f t="shared" si="1"/>
        <v>4100</v>
      </c>
    </row>
    <row r="51" spans="1:7" ht="51">
      <c r="A51" s="43">
        <v>49</v>
      </c>
      <c r="B51" s="44" t="str">
        <f>Item49!B3</f>
        <v>Numerador Metálico de 06 dígitos
Altura de números: 05 mm
Repetições: 0,1,2,3,4,6,12
Construção: metálica</v>
      </c>
      <c r="C51" s="51" t="str">
        <f>Item49!G20</f>
        <v>TEBEL SUPRIMENTOS</v>
      </c>
      <c r="D51" s="43" t="str">
        <f>Item49!C3</f>
        <v xml:space="preserve">un </v>
      </c>
      <c r="E51" s="43">
        <f>Item49!D3</f>
        <v>10</v>
      </c>
      <c r="F51" s="45">
        <f>Item49!F3</f>
        <v>179.98</v>
      </c>
      <c r="G51" s="45">
        <f t="shared" si="1"/>
        <v>1799.8</v>
      </c>
    </row>
    <row r="52" spans="1:7" ht="63.75">
      <c r="A52" s="43">
        <v>50</v>
      </c>
      <c r="B52" s="44" t="str">
        <f>Item50!B3</f>
        <v>Refil para numerador automático de 6 dígitos
Compatível com o item 49.
Acondicionados em embalagem com até 5 unidades
Prazo de validade não inferior a 6 meses, contados da data do recebimento definitivo</v>
      </c>
      <c r="C52" s="51" t="str">
        <f>Item50!G20</f>
        <v>SOBRAL-CHAVES E CARIMBOS LTDA</v>
      </c>
      <c r="D52" s="43" t="str">
        <f>Item50!C3</f>
        <v xml:space="preserve">un </v>
      </c>
      <c r="E52" s="43">
        <f>Item50!D3</f>
        <v>20</v>
      </c>
      <c r="F52" s="45">
        <f>Item50!F3</f>
        <v>5</v>
      </c>
      <c r="G52" s="45">
        <f t="shared" si="1"/>
        <v>100</v>
      </c>
    </row>
    <row r="53" spans="1:7" ht="102">
      <c r="A53" s="43">
        <v>51</v>
      </c>
      <c r="B53" s="44" t="str">
        <f>Item51!B3</f>
        <v>Porta diploma
Tamanho 26 x 35,5 cm
Dobra horizontal
Impressão do Brasão da República
Acartonado preto com impressão  4 x 0 cores
Acabamento interno em papel fosco e quatro alças em tecido para suporte
Obrigatória a apresentação de amostras</v>
      </c>
      <c r="C53" s="51" t="str">
        <f>Item51!G20</f>
        <v>D &amp; W COMERCIO E SERVICOS</v>
      </c>
      <c r="D53" s="43" t="str">
        <f>Item51!C3</f>
        <v xml:space="preserve">un </v>
      </c>
      <c r="E53" s="43">
        <f>Item51!D3</f>
        <v>500</v>
      </c>
      <c r="F53" s="45">
        <f>Item51!F3</f>
        <v>35.28</v>
      </c>
      <c r="G53" s="45">
        <f t="shared" si="1"/>
        <v>17640</v>
      </c>
    </row>
    <row r="54" spans="1:7" ht="89.25">
      <c r="A54" s="43">
        <v>52</v>
      </c>
      <c r="B54" s="44" t="str">
        <f>Item52!B3</f>
        <v>Umedecedor de dedo em pasta
Com glicerina, não tóxico e que não manche
Com CRQ do químico responsável impresso na embalagem e/ou no rótulo
Peso líquido de 12g
Validade mínima de 6 (seis) meses
Acondicionado em caixas com 10 unidades</v>
      </c>
      <c r="C54" s="51" t="str">
        <f>Item52!G20</f>
        <v>LUCELIO APARECIDO MARQUES ALVES 03485121630</v>
      </c>
      <c r="D54" s="43" t="str">
        <f>Item52!C3</f>
        <v xml:space="preserve">un </v>
      </c>
      <c r="E54" s="43">
        <f>Item52!D3</f>
        <v>300</v>
      </c>
      <c r="F54" s="45">
        <f>Item52!F3</f>
        <v>1.43</v>
      </c>
      <c r="G54" s="45">
        <f t="shared" si="1"/>
        <v>429</v>
      </c>
    </row>
    <row r="55" spans="1:7" ht="178.5">
      <c r="A55" s="43">
        <v>53</v>
      </c>
      <c r="B55" s="44" t="str">
        <f>Item53!B3</f>
        <v>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55" s="51" t="str">
        <f>Item53!G20</f>
        <v>GRAFICA LUAR EDITORA E PAPELARIA LTDA</v>
      </c>
      <c r="D55" s="43" t="str">
        <f>Item53!C3</f>
        <v>cx</v>
      </c>
      <c r="E55" s="43">
        <f>Item53!D3</f>
        <v>3750</v>
      </c>
      <c r="F55" s="45">
        <f>Item53!F3</f>
        <v>21.65</v>
      </c>
      <c r="G55" s="45">
        <f t="shared" si="1"/>
        <v>81187.5</v>
      </c>
    </row>
    <row r="56" spans="1:7" ht="127.5">
      <c r="A56" s="43">
        <v>54</v>
      </c>
      <c r="B56" s="44" t="str">
        <f>Item54!B3</f>
        <v>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v>
      </c>
      <c r="C56" s="51" t="str">
        <f>Item54!G20</f>
        <v xml:space="preserve">EXCLUSIVA COMERCIO E SERVICOS, PAPELARIA E INFORMATICA LTDA </v>
      </c>
      <c r="D56" s="43" t="str">
        <f>Item54!C3</f>
        <v>pc</v>
      </c>
      <c r="E56" s="43">
        <f>Item54!D3</f>
        <v>1500</v>
      </c>
      <c r="F56" s="45">
        <f>Item54!F3</f>
        <v>38.450000000000003</v>
      </c>
      <c r="G56" s="45">
        <f t="shared" si="1"/>
        <v>57675.000000000007</v>
      </c>
    </row>
    <row r="57" spans="1:7" ht="63.75">
      <c r="A57" s="43">
        <v>55</v>
      </c>
      <c r="B57" s="44" t="str">
        <f>Item55!B3</f>
        <v>Régua plástica transparente,
Comprimento: 15 cm.
Graduação centímetros/milímetros
Embaladas em pacotes ou caixas com até 100 unidades</v>
      </c>
      <c r="C57" s="51" t="str">
        <f>Item55!G20</f>
        <v>COMERCIAL PROMOSTORE CONFECCOES LTDA</v>
      </c>
      <c r="D57" s="43" t="str">
        <f>Item55!C3</f>
        <v xml:space="preserve">un </v>
      </c>
      <c r="E57" s="43">
        <f>Item55!D3</f>
        <v>26250</v>
      </c>
      <c r="F57" s="45">
        <f>Item55!F3</f>
        <v>1.8</v>
      </c>
      <c r="G57" s="45">
        <f t="shared" si="1"/>
        <v>47250</v>
      </c>
    </row>
    <row r="58" spans="1:7" ht="51">
      <c r="A58" s="43">
        <v>56</v>
      </c>
      <c r="B58" s="44" t="str">
        <f>Item56!B3</f>
        <v>Papel alcalino no formato A4 (210x297mm),
Cor branca,
Gramatura: 75g/m2,
Para impressora a laser</v>
      </c>
      <c r="C58" s="51" t="str">
        <f>Item56!G20</f>
        <v>FOX ELETRONICA LTDA</v>
      </c>
      <c r="D58" s="43" t="str">
        <f>Item56!C3</f>
        <v>rm</v>
      </c>
      <c r="E58" s="43">
        <f>Item56!D3</f>
        <v>26579</v>
      </c>
      <c r="F58" s="45">
        <f>Item56!F3</f>
        <v>20.5</v>
      </c>
      <c r="G58" s="45">
        <f t="shared" ref="G58" si="2">(ROUND(F58,2)*E58)</f>
        <v>544869.5</v>
      </c>
    </row>
    <row r="59" spans="1:7" ht="15.75">
      <c r="A59" s="40"/>
      <c r="B59" s="40"/>
      <c r="C59" s="40"/>
      <c r="D59" s="85" t="s">
        <v>21</v>
      </c>
      <c r="E59" s="86"/>
      <c r="F59" s="87"/>
      <c r="G59" s="41">
        <f>SUM(G3:G58)</f>
        <v>1305059.3</v>
      </c>
    </row>
  </sheetData>
  <mergeCells count="2">
    <mergeCell ref="D59:F59"/>
    <mergeCell ref="A1:G1"/>
  </mergeCells>
  <pageMargins left="0.51181102362204722" right="0.51181102362204722" top="0.78740157480314965" bottom="0.78740157480314965" header="0.31496062992125984" footer="0.31496062992125984"/>
  <pageSetup paperSize="9" scale="88"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45</v>
      </c>
      <c r="B2" s="30" t="s">
        <v>22</v>
      </c>
      <c r="C2" s="30" t="s">
        <v>1</v>
      </c>
      <c r="D2" s="30" t="s">
        <v>2</v>
      </c>
      <c r="E2" s="14" t="s">
        <v>30</v>
      </c>
      <c r="F2" s="14" t="s">
        <v>31</v>
      </c>
      <c r="G2" s="30" t="s">
        <v>3</v>
      </c>
      <c r="H2" s="15" t="s">
        <v>4</v>
      </c>
      <c r="I2" s="16" t="s">
        <v>9</v>
      </c>
    </row>
    <row r="3" spans="1:9" ht="12.75" customHeight="1">
      <c r="A3" s="71"/>
      <c r="B3" s="72" t="s">
        <v>150</v>
      </c>
      <c r="C3" s="75" t="s">
        <v>139</v>
      </c>
      <c r="D3" s="78">
        <v>3000</v>
      </c>
      <c r="E3" s="81">
        <f>IF(C20&lt;=25%,D20,MIN(E20:F20))</f>
        <v>1.55</v>
      </c>
      <c r="F3" s="81">
        <f>MIN(H3:H17)</f>
        <v>0.85</v>
      </c>
      <c r="G3" s="4" t="s">
        <v>329</v>
      </c>
      <c r="H3" s="13">
        <v>2.04</v>
      </c>
      <c r="I3" s="29">
        <f>IF(H3="","",(IF($C$20&lt;25%,"N/A",IF(H3&lt;=($D$20+$A$20),H3,"Descartado"))))</f>
        <v>2.04</v>
      </c>
    </row>
    <row r="4" spans="1:9">
      <c r="A4" s="71"/>
      <c r="B4" s="73"/>
      <c r="C4" s="76"/>
      <c r="D4" s="79"/>
      <c r="E4" s="82"/>
      <c r="F4" s="82"/>
      <c r="G4" s="4" t="s">
        <v>330</v>
      </c>
      <c r="H4" s="13">
        <v>0.85</v>
      </c>
      <c r="I4" s="29">
        <f t="shared" ref="I4:I17" si="0">IF(H4="","",(IF($C$20&lt;25%,"N/A",IF(H4&lt;=($D$20+$A$20),H4,"Descartado"))))</f>
        <v>0.85</v>
      </c>
    </row>
    <row r="5" spans="1:9">
      <c r="A5" s="71"/>
      <c r="B5" s="73"/>
      <c r="C5" s="76"/>
      <c r="D5" s="79"/>
      <c r="E5" s="82"/>
      <c r="F5" s="82"/>
      <c r="G5" s="4" t="s">
        <v>331</v>
      </c>
      <c r="H5" s="13">
        <v>1.7450000000000001</v>
      </c>
      <c r="I5" s="29">
        <f t="shared" si="0"/>
        <v>1.7450000000000001</v>
      </c>
    </row>
    <row r="6" spans="1:9">
      <c r="A6" s="71"/>
      <c r="B6" s="73"/>
      <c r="C6" s="76"/>
      <c r="D6" s="79"/>
      <c r="E6" s="82"/>
      <c r="F6" s="82"/>
      <c r="G6" s="4" t="s">
        <v>332</v>
      </c>
      <c r="H6" s="13">
        <v>2.5</v>
      </c>
      <c r="I6" s="29" t="str">
        <f t="shared" si="0"/>
        <v>Descartado</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0.69571755523823564</v>
      </c>
      <c r="B20" s="19">
        <f>COUNT(H3:H17)</f>
        <v>4</v>
      </c>
      <c r="C20" s="20">
        <f>IF(B20&lt;2,"N/A",(A20/D20))</f>
        <v>0.3908525591226043</v>
      </c>
      <c r="D20" s="21">
        <f>ROUND(AVERAGE(H3:H17),2)</f>
        <v>1.78</v>
      </c>
      <c r="E20" s="22">
        <f>IFERROR(ROUND(IF(B20&lt;2,"N/A",(IF(C20&lt;=25%,"N/A",AVERAGE(I3:I17)))),2),"N/A")</f>
        <v>1.55</v>
      </c>
      <c r="F20" s="22">
        <f>ROUND(MEDIAN(H3:H17),2)</f>
        <v>1.89</v>
      </c>
      <c r="G20" s="23" t="str">
        <f>INDEX(G3:G17,MATCH(H20,H3:H17,0))</f>
        <v>FIBRAP</v>
      </c>
      <c r="H20" s="24">
        <f>MIN(H3:H17)</f>
        <v>0.85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1.55</v>
      </c>
    </row>
    <row r="23" spans="1:11">
      <c r="B23" s="32"/>
      <c r="C23" s="32"/>
      <c r="D23" s="67"/>
      <c r="E23" s="67"/>
      <c r="F23" s="36"/>
      <c r="G23" s="27" t="s">
        <v>8</v>
      </c>
      <c r="H23" s="28">
        <f>ROUND(H22,2)*D3</f>
        <v>4650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46</v>
      </c>
      <c r="B2" s="30" t="s">
        <v>22</v>
      </c>
      <c r="C2" s="30" t="s">
        <v>1</v>
      </c>
      <c r="D2" s="30" t="s">
        <v>2</v>
      </c>
      <c r="E2" s="14" t="s">
        <v>30</v>
      </c>
      <c r="F2" s="14" t="s">
        <v>31</v>
      </c>
      <c r="G2" s="30" t="s">
        <v>3</v>
      </c>
      <c r="H2" s="15" t="s">
        <v>4</v>
      </c>
      <c r="I2" s="16" t="s">
        <v>9</v>
      </c>
    </row>
    <row r="3" spans="1:9" ht="12.75" customHeight="1">
      <c r="A3" s="71"/>
      <c r="B3" s="72" t="s">
        <v>151</v>
      </c>
      <c r="C3" s="75" t="s">
        <v>136</v>
      </c>
      <c r="D3" s="78">
        <v>500</v>
      </c>
      <c r="E3" s="81">
        <f>IF(C20&lt;=25%,D20,MIN(E20:F20))</f>
        <v>21.63</v>
      </c>
      <c r="F3" s="81">
        <f>MIN(H3:H17)</f>
        <v>12.26</v>
      </c>
      <c r="G3" s="4" t="s">
        <v>333</v>
      </c>
      <c r="H3" s="13">
        <v>25.49</v>
      </c>
      <c r="I3" s="29">
        <f>IF(H3="","",(IF($C$20&lt;25%,"N/A",IF(H3&lt;=($D$20+$A$20),H3,"Descartado"))))</f>
        <v>25.49</v>
      </c>
    </row>
    <row r="4" spans="1:9">
      <c r="A4" s="71"/>
      <c r="B4" s="73"/>
      <c r="C4" s="76"/>
      <c r="D4" s="79"/>
      <c r="E4" s="82"/>
      <c r="F4" s="82"/>
      <c r="G4" s="4" t="s">
        <v>334</v>
      </c>
      <c r="H4" s="13">
        <v>34.5</v>
      </c>
      <c r="I4" s="29" t="str">
        <f t="shared" ref="I4:I17" si="0">IF(H4="","",(IF($C$20&lt;25%,"N/A",IF(H4&lt;=($D$20+$A$20),H4,"Descartado"))))</f>
        <v>Descartado</v>
      </c>
    </row>
    <row r="5" spans="1:9">
      <c r="A5" s="71"/>
      <c r="B5" s="73"/>
      <c r="C5" s="76"/>
      <c r="D5" s="79"/>
      <c r="E5" s="82"/>
      <c r="F5" s="82"/>
      <c r="G5" s="4" t="s">
        <v>335</v>
      </c>
      <c r="H5" s="13">
        <v>12.26</v>
      </c>
      <c r="I5" s="29">
        <f t="shared" si="0"/>
        <v>12.26</v>
      </c>
    </row>
    <row r="6" spans="1:9">
      <c r="A6" s="71"/>
      <c r="B6" s="73"/>
      <c r="C6" s="76"/>
      <c r="D6" s="79"/>
      <c r="E6" s="82"/>
      <c r="F6" s="82"/>
      <c r="G6" s="4" t="s">
        <v>336</v>
      </c>
      <c r="H6" s="13">
        <v>27.15</v>
      </c>
      <c r="I6" s="29">
        <f t="shared" si="0"/>
        <v>27.15</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9.2615729405610843</v>
      </c>
      <c r="B20" s="19">
        <f>COUNT(H3:H17)</f>
        <v>4</v>
      </c>
      <c r="C20" s="20">
        <f>IF(B20&lt;2,"N/A",(A20/D20))</f>
        <v>0.37269911229622066</v>
      </c>
      <c r="D20" s="21">
        <f>ROUND(AVERAGE(H3:H17),2)</f>
        <v>24.85</v>
      </c>
      <c r="E20" s="22">
        <f>IFERROR(ROUND(IF(B20&lt;2,"N/A",(IF(C20&lt;=25%,"N/A",AVERAGE(I3:I17)))),2),"N/A")</f>
        <v>21.63</v>
      </c>
      <c r="F20" s="22">
        <f>ROUND(MEDIAN(H3:H17),2)</f>
        <v>26.32</v>
      </c>
      <c r="G20" s="23" t="str">
        <f>INDEX(G3:G17,MATCH(H20,H3:H17,0))</f>
        <v>MUNDOWARE</v>
      </c>
      <c r="H20" s="24">
        <f>MIN(H3:H17)</f>
        <v>12.26</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21.63</v>
      </c>
    </row>
    <row r="23" spans="1:11">
      <c r="B23" s="32"/>
      <c r="C23" s="32"/>
      <c r="D23" s="67"/>
      <c r="E23" s="67"/>
      <c r="F23" s="36"/>
      <c r="G23" s="27" t="s">
        <v>8</v>
      </c>
      <c r="H23" s="28">
        <f>ROUND(H22,2)*D3</f>
        <v>10815</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6" sqref="G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47</v>
      </c>
      <c r="B2" s="30" t="s">
        <v>22</v>
      </c>
      <c r="C2" s="30" t="s">
        <v>1</v>
      </c>
      <c r="D2" s="30" t="s">
        <v>2</v>
      </c>
      <c r="E2" s="14" t="s">
        <v>30</v>
      </c>
      <c r="F2" s="14" t="s">
        <v>31</v>
      </c>
      <c r="G2" s="30" t="s">
        <v>3</v>
      </c>
      <c r="H2" s="15" t="s">
        <v>4</v>
      </c>
      <c r="I2" s="16" t="s">
        <v>9</v>
      </c>
    </row>
    <row r="3" spans="1:9" ht="12.75" customHeight="1">
      <c r="A3" s="71"/>
      <c r="B3" s="72" t="s">
        <v>152</v>
      </c>
      <c r="C3" s="75" t="s">
        <v>136</v>
      </c>
      <c r="D3" s="78">
        <v>400</v>
      </c>
      <c r="E3" s="81">
        <f>IF(C20&lt;=25%,D20,MIN(E20:F20))</f>
        <v>10.37</v>
      </c>
      <c r="F3" s="81">
        <f>MIN(H3:H17)</f>
        <v>8.5</v>
      </c>
      <c r="G3" s="4" t="s">
        <v>216</v>
      </c>
      <c r="H3" s="13">
        <v>8.5</v>
      </c>
      <c r="I3" s="29" t="str">
        <f>IF(H3="","",(IF($C$20&lt;25%,"N/A",IF(H3&lt;=($D$20+$A$20),H3,"Descartado"))))</f>
        <v>N/A</v>
      </c>
    </row>
    <row r="4" spans="1:9">
      <c r="A4" s="71"/>
      <c r="B4" s="73"/>
      <c r="C4" s="76"/>
      <c r="D4" s="79"/>
      <c r="E4" s="82"/>
      <c r="F4" s="82"/>
      <c r="G4" s="4" t="s">
        <v>217</v>
      </c>
      <c r="H4" s="13">
        <v>10.92</v>
      </c>
      <c r="I4" s="29" t="str">
        <f t="shared" ref="I4:I17" si="0">IF(H4="","",(IF($C$20&lt;25%,"N/A",IF(H4&lt;=($D$20+$A$20),H4,"Descartado"))))</f>
        <v>N/A</v>
      </c>
    </row>
    <row r="5" spans="1:9">
      <c r="A5" s="71"/>
      <c r="B5" s="73"/>
      <c r="C5" s="76"/>
      <c r="D5" s="79"/>
      <c r="E5" s="82"/>
      <c r="F5" s="82"/>
      <c r="G5" s="4" t="s">
        <v>218</v>
      </c>
      <c r="H5" s="13">
        <v>11.7</v>
      </c>
      <c r="I5" s="29" t="str">
        <f t="shared" si="0"/>
        <v>N/A</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1.6685722439658708</v>
      </c>
      <c r="B20" s="19">
        <f>COUNT(H3:H17)</f>
        <v>3</v>
      </c>
      <c r="C20" s="20">
        <f>IF(B20&lt;2,"N/A",(A20/D20))</f>
        <v>0.16090378437472236</v>
      </c>
      <c r="D20" s="21">
        <f>ROUND(AVERAGE(H3:H17),2)</f>
        <v>10.37</v>
      </c>
      <c r="E20" s="22" t="str">
        <f>IFERROR(ROUND(IF(B20&lt;2,"N/A",(IF(C20&lt;=25%,"N/A",AVERAGE(I3:I17)))),2),"N/A")</f>
        <v>N/A</v>
      </c>
      <c r="F20" s="22">
        <f>ROUND(MEDIAN(H3:H17),2)</f>
        <v>10.92</v>
      </c>
      <c r="G20" s="23" t="str">
        <f>INDEX(G3:G17,MATCH(H20,H3:H17,0))</f>
        <v>JR PORTELLA COMERCIO DE ACESSORIOS E SERVICOS AUTOMOTIVOS LTDA</v>
      </c>
      <c r="H20" s="24">
        <f>MIN(H3:H17)</f>
        <v>8.5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10.37</v>
      </c>
    </row>
    <row r="23" spans="1:11">
      <c r="B23" s="32"/>
      <c r="C23" s="32"/>
      <c r="D23" s="67"/>
      <c r="E23" s="67"/>
      <c r="F23" s="36"/>
      <c r="G23" s="27" t="s">
        <v>8</v>
      </c>
      <c r="H23" s="28">
        <f>ROUND(H22,2)*D3</f>
        <v>4148</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48</v>
      </c>
      <c r="B2" s="30" t="s">
        <v>22</v>
      </c>
      <c r="C2" s="30" t="s">
        <v>1</v>
      </c>
      <c r="D2" s="30" t="s">
        <v>2</v>
      </c>
      <c r="E2" s="14" t="s">
        <v>30</v>
      </c>
      <c r="F2" s="14" t="s">
        <v>31</v>
      </c>
      <c r="G2" s="30" t="s">
        <v>3</v>
      </c>
      <c r="H2" s="15" t="s">
        <v>4</v>
      </c>
      <c r="I2" s="16" t="s">
        <v>9</v>
      </c>
    </row>
    <row r="3" spans="1:9" ht="12.75" customHeight="1">
      <c r="A3" s="71"/>
      <c r="B3" s="72" t="s">
        <v>153</v>
      </c>
      <c r="C3" s="75" t="s">
        <v>136</v>
      </c>
      <c r="D3" s="78">
        <v>800</v>
      </c>
      <c r="E3" s="81">
        <f>IF(C20&lt;=25%,D20,MIN(E20:F20))</f>
        <v>32.840000000000003</v>
      </c>
      <c r="F3" s="81">
        <f>MIN(H3:H17)</f>
        <v>19.98</v>
      </c>
      <c r="G3" s="4" t="s">
        <v>219</v>
      </c>
      <c r="H3" s="13">
        <v>19.98</v>
      </c>
      <c r="I3" s="29">
        <f>IF(H3="","",(IF($C$20&lt;25%,"N/A",IF(H3&lt;=($D$20+$A$20),H3,"Descartado"))))</f>
        <v>19.98</v>
      </c>
    </row>
    <row r="4" spans="1:9">
      <c r="A4" s="71"/>
      <c r="B4" s="73"/>
      <c r="C4" s="76"/>
      <c r="D4" s="79"/>
      <c r="E4" s="82"/>
      <c r="F4" s="82"/>
      <c r="G4" s="4" t="s">
        <v>333</v>
      </c>
      <c r="H4" s="13">
        <v>40.659999999999997</v>
      </c>
      <c r="I4" s="29">
        <f t="shared" ref="I4:I17" si="0">IF(H4="","",(IF($C$20&lt;25%,"N/A",IF(H4&lt;=($D$20+$A$20),H4,"Descartado"))))</f>
        <v>40.659999999999997</v>
      </c>
    </row>
    <row r="5" spans="1:9">
      <c r="A5" s="71"/>
      <c r="B5" s="73"/>
      <c r="C5" s="76"/>
      <c r="D5" s="79"/>
      <c r="E5" s="82"/>
      <c r="F5" s="82"/>
      <c r="G5" s="4" t="s">
        <v>334</v>
      </c>
      <c r="H5" s="13">
        <v>40.799999999999997</v>
      </c>
      <c r="I5" s="29">
        <f t="shared" si="0"/>
        <v>40.799999999999997</v>
      </c>
    </row>
    <row r="6" spans="1:9">
      <c r="A6" s="71"/>
      <c r="B6" s="73"/>
      <c r="C6" s="76"/>
      <c r="D6" s="79"/>
      <c r="E6" s="82"/>
      <c r="F6" s="82"/>
      <c r="G6" s="4" t="s">
        <v>337</v>
      </c>
      <c r="H6" s="13">
        <v>57.9</v>
      </c>
      <c r="I6" s="29" t="str">
        <f t="shared" si="0"/>
        <v>Descartado</v>
      </c>
    </row>
    <row r="7" spans="1:9">
      <c r="A7" s="71"/>
      <c r="B7" s="73"/>
      <c r="C7" s="76"/>
      <c r="D7" s="79"/>
      <c r="E7" s="82"/>
      <c r="F7" s="82"/>
      <c r="G7" s="4" t="s">
        <v>338</v>
      </c>
      <c r="H7" s="13">
        <v>29.9</v>
      </c>
      <c r="I7" s="29">
        <f t="shared" si="0"/>
        <v>29.9</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14.152212547866846</v>
      </c>
      <c r="B20" s="19">
        <f>COUNT(H3:H17)</f>
        <v>5</v>
      </c>
      <c r="C20" s="20">
        <f>IF(B20&lt;2,"N/A",(A20/D20))</f>
        <v>0.37390257722237369</v>
      </c>
      <c r="D20" s="21">
        <f>ROUND(AVERAGE(H3:H17),2)</f>
        <v>37.85</v>
      </c>
      <c r="E20" s="22">
        <f>IFERROR(ROUND(IF(B20&lt;2,"N/A",(IF(C20&lt;=25%,"N/A",AVERAGE(I3:I17)))),2),"N/A")</f>
        <v>32.840000000000003</v>
      </c>
      <c r="F20" s="22">
        <f>ROUND(MEDIAN(H3:H17),2)</f>
        <v>40.659999999999997</v>
      </c>
      <c r="G20" s="23" t="str">
        <f>INDEX(G3:G17,MATCH(H20,H3:H17,0))</f>
        <v>JULIPLAST EMBALAGENS LTDA</v>
      </c>
      <c r="H20" s="24">
        <f>MIN(H3:H17)</f>
        <v>19.98</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32.840000000000003</v>
      </c>
    </row>
    <row r="23" spans="1:11">
      <c r="B23" s="32"/>
      <c r="C23" s="32"/>
      <c r="D23" s="67"/>
      <c r="E23" s="67"/>
      <c r="F23" s="36"/>
      <c r="G23" s="27" t="s">
        <v>8</v>
      </c>
      <c r="H23" s="28">
        <f>ROUND(H22,2)*D3</f>
        <v>26272.000000000004</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49</v>
      </c>
      <c r="B2" s="30" t="s">
        <v>22</v>
      </c>
      <c r="C2" s="30" t="s">
        <v>1</v>
      </c>
      <c r="D2" s="30" t="s">
        <v>2</v>
      </c>
      <c r="E2" s="14" t="s">
        <v>30</v>
      </c>
      <c r="F2" s="14" t="s">
        <v>31</v>
      </c>
      <c r="G2" s="30" t="s">
        <v>3</v>
      </c>
      <c r="H2" s="15" t="s">
        <v>4</v>
      </c>
      <c r="I2" s="16" t="s">
        <v>9</v>
      </c>
    </row>
    <row r="3" spans="1:9" ht="12.75" customHeight="1">
      <c r="A3" s="71"/>
      <c r="B3" s="72" t="s">
        <v>154</v>
      </c>
      <c r="C3" s="75" t="s">
        <v>147</v>
      </c>
      <c r="D3" s="78">
        <v>1200</v>
      </c>
      <c r="E3" s="81">
        <f>IF(C20&lt;=25%,D20,MIN(E20:F20))</f>
        <v>0.42</v>
      </c>
      <c r="F3" s="81">
        <f>MIN(H3:H17)</f>
        <v>0.25</v>
      </c>
      <c r="G3" s="4" t="s">
        <v>339</v>
      </c>
      <c r="H3" s="13">
        <v>0.3</v>
      </c>
      <c r="I3" s="29">
        <f>IF(H3="","",(IF($C$20&lt;25%,"N/A",IF(H3&lt;=($D$20+$A$20),H3,"Descartado"))))</f>
        <v>0.3</v>
      </c>
    </row>
    <row r="4" spans="1:9">
      <c r="A4" s="71"/>
      <c r="B4" s="73"/>
      <c r="C4" s="76"/>
      <c r="D4" s="79"/>
      <c r="E4" s="82"/>
      <c r="F4" s="82"/>
      <c r="G4" s="4" t="s">
        <v>340</v>
      </c>
      <c r="H4" s="13">
        <v>1.33</v>
      </c>
      <c r="I4" s="29" t="str">
        <f t="shared" ref="I4:I17" si="0">IF(H4="","",(IF($C$20&lt;25%,"N/A",IF(H4&lt;=($D$20+$A$20),H4,"Descartado"))))</f>
        <v>Descartado</v>
      </c>
    </row>
    <row r="5" spans="1:9">
      <c r="A5" s="71"/>
      <c r="B5" s="73"/>
      <c r="C5" s="76"/>
      <c r="D5" s="79"/>
      <c r="E5" s="82"/>
      <c r="F5" s="82"/>
      <c r="G5" s="4" t="s">
        <v>341</v>
      </c>
      <c r="H5" s="13">
        <v>0.71</v>
      </c>
      <c r="I5" s="29">
        <f t="shared" si="0"/>
        <v>0.71</v>
      </c>
    </row>
    <row r="6" spans="1:9">
      <c r="A6" s="71"/>
      <c r="B6" s="73"/>
      <c r="C6" s="76"/>
      <c r="D6" s="79"/>
      <c r="E6" s="82"/>
      <c r="F6" s="82"/>
      <c r="G6" s="4" t="s">
        <v>342</v>
      </c>
      <c r="H6" s="13">
        <v>0.25</v>
      </c>
      <c r="I6" s="29">
        <f t="shared" si="0"/>
        <v>0.25</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0.49949140800084529</v>
      </c>
      <c r="B20" s="19">
        <f>COUNT(H3:H17)</f>
        <v>4</v>
      </c>
      <c r="C20" s="20">
        <f>IF(B20&lt;2,"N/A",(A20/D20))</f>
        <v>0.76844832000130048</v>
      </c>
      <c r="D20" s="21">
        <f>ROUND(AVERAGE(H3:H17),2)</f>
        <v>0.65</v>
      </c>
      <c r="E20" s="22">
        <f>IFERROR(ROUND(IF(B20&lt;2,"N/A",(IF(C20&lt;=25%,"N/A",AVERAGE(I3:I17)))),2),"N/A")</f>
        <v>0.42</v>
      </c>
      <c r="F20" s="22">
        <f>ROUND(MEDIAN(H3:H17),2)</f>
        <v>0.51</v>
      </c>
      <c r="G20" s="23" t="str">
        <f>INDEX(G3:G17,MATCH(H20,H3:H17,0))</f>
        <v>PAPELEX</v>
      </c>
      <c r="H20" s="24">
        <f>MIN(H3:H17)</f>
        <v>0.25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0.42</v>
      </c>
    </row>
    <row r="23" spans="1:11">
      <c r="B23" s="32"/>
      <c r="C23" s="32"/>
      <c r="D23" s="67"/>
      <c r="E23" s="67"/>
      <c r="F23" s="36"/>
      <c r="G23" s="27" t="s">
        <v>8</v>
      </c>
      <c r="H23" s="28">
        <f>ROUND(H22,2)*D3</f>
        <v>504</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50</v>
      </c>
      <c r="B2" s="30" t="s">
        <v>22</v>
      </c>
      <c r="C2" s="30" t="s">
        <v>1</v>
      </c>
      <c r="D2" s="30" t="s">
        <v>2</v>
      </c>
      <c r="E2" s="14" t="s">
        <v>30</v>
      </c>
      <c r="F2" s="14" t="s">
        <v>31</v>
      </c>
      <c r="G2" s="30" t="s">
        <v>3</v>
      </c>
      <c r="H2" s="15" t="s">
        <v>4</v>
      </c>
      <c r="I2" s="16" t="s">
        <v>9</v>
      </c>
    </row>
    <row r="3" spans="1:9" ht="12.75" customHeight="1">
      <c r="A3" s="71"/>
      <c r="B3" s="72" t="s">
        <v>155</v>
      </c>
      <c r="C3" s="75" t="s">
        <v>136</v>
      </c>
      <c r="D3" s="78">
        <v>10</v>
      </c>
      <c r="E3" s="81">
        <f>IF(C20&lt;=25%,D20,MIN(E20:F20))</f>
        <v>34.090000000000003</v>
      </c>
      <c r="F3" s="81">
        <f>MIN(H3:H17)</f>
        <v>18.600000000000001</v>
      </c>
      <c r="G3" s="4" t="s">
        <v>220</v>
      </c>
      <c r="H3" s="13">
        <v>35.28</v>
      </c>
      <c r="I3" s="29">
        <f>IF(H3="","",(IF($C$20&lt;25%,"N/A",IF(H3&lt;=($D$20+$A$20),H3,"Descartado"))))</f>
        <v>35.28</v>
      </c>
    </row>
    <row r="4" spans="1:9">
      <c r="A4" s="71"/>
      <c r="B4" s="73"/>
      <c r="C4" s="76"/>
      <c r="D4" s="79"/>
      <c r="E4" s="82"/>
      <c r="F4" s="82"/>
      <c r="G4" s="4" t="s">
        <v>221</v>
      </c>
      <c r="H4" s="13">
        <v>22.99</v>
      </c>
      <c r="I4" s="29">
        <f t="shared" ref="I4:I17" si="0">IF(H4="","",(IF($C$20&lt;25%,"N/A",IF(H4&lt;=($D$20+$A$20),H4,"Descartado"))))</f>
        <v>22.99</v>
      </c>
    </row>
    <row r="5" spans="1:9">
      <c r="A5" s="71"/>
      <c r="B5" s="73"/>
      <c r="C5" s="76"/>
      <c r="D5" s="79"/>
      <c r="E5" s="82"/>
      <c r="F5" s="82"/>
      <c r="G5" s="4" t="s">
        <v>222</v>
      </c>
      <c r="H5" s="13">
        <v>18.600000000000001</v>
      </c>
      <c r="I5" s="29">
        <f t="shared" si="0"/>
        <v>18.600000000000001</v>
      </c>
    </row>
    <row r="6" spans="1:9">
      <c r="A6" s="71"/>
      <c r="B6" s="73"/>
      <c r="C6" s="76"/>
      <c r="D6" s="79"/>
      <c r="E6" s="82"/>
      <c r="F6" s="82"/>
      <c r="G6" s="4" t="s">
        <v>334</v>
      </c>
      <c r="H6" s="13">
        <v>74</v>
      </c>
      <c r="I6" s="29">
        <f t="shared" si="0"/>
        <v>74</v>
      </c>
    </row>
    <row r="7" spans="1:9">
      <c r="A7" s="71"/>
      <c r="B7" s="73"/>
      <c r="C7" s="76"/>
      <c r="D7" s="79"/>
      <c r="E7" s="82"/>
      <c r="F7" s="82"/>
      <c r="G7" s="4" t="s">
        <v>338</v>
      </c>
      <c r="H7" s="13">
        <v>32.9</v>
      </c>
      <c r="I7" s="29">
        <f t="shared" si="0"/>
        <v>32.9</v>
      </c>
    </row>
    <row r="8" spans="1:9">
      <c r="A8" s="71"/>
      <c r="B8" s="73"/>
      <c r="C8" s="76"/>
      <c r="D8" s="79"/>
      <c r="E8" s="82"/>
      <c r="F8" s="82"/>
      <c r="G8" s="4" t="s">
        <v>343</v>
      </c>
      <c r="H8" s="13">
        <v>127.6</v>
      </c>
      <c r="I8" s="29" t="str">
        <f t="shared" si="0"/>
        <v>Descartado</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41.954266409985053</v>
      </c>
      <c r="B20" s="19">
        <f>COUNT(H3:H17)</f>
        <v>6</v>
      </c>
      <c r="C20" s="20">
        <f>IF(B20&lt;2,"N/A",(A20/D20))</f>
        <v>0.80836736820780453</v>
      </c>
      <c r="D20" s="21">
        <f>ROUND(AVERAGE(H3:H17),2)</f>
        <v>51.9</v>
      </c>
      <c r="E20" s="22">
        <f>IFERROR(ROUND(IF(B20&lt;2,"N/A",(IF(C20&lt;=25%,"N/A",AVERAGE(I3:I17)))),2),"N/A")</f>
        <v>36.75</v>
      </c>
      <c r="F20" s="22">
        <f>ROUND(MEDIAN(H3:H17),2)</f>
        <v>34.090000000000003</v>
      </c>
      <c r="G20" s="23" t="str">
        <f>INDEX(G3:G17,MATCH(H20,H3:H17,0))</f>
        <v>48.843.109 TEREZINHA ZULMAR MADRIL</v>
      </c>
      <c r="H20" s="24">
        <f>MIN(H3:H17)</f>
        <v>18.600000000000001</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34.090000000000003</v>
      </c>
    </row>
    <row r="23" spans="1:11">
      <c r="B23" s="32"/>
      <c r="C23" s="32"/>
      <c r="D23" s="67"/>
      <c r="E23" s="67"/>
      <c r="F23" s="36"/>
      <c r="G23" s="27" t="s">
        <v>8</v>
      </c>
      <c r="H23" s="28">
        <f>ROUND(H22,2)*D3</f>
        <v>340.90000000000003</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51</v>
      </c>
      <c r="B2" s="30" t="s">
        <v>22</v>
      </c>
      <c r="C2" s="30" t="s">
        <v>1</v>
      </c>
      <c r="D2" s="30" t="s">
        <v>2</v>
      </c>
      <c r="E2" s="14" t="s">
        <v>30</v>
      </c>
      <c r="F2" s="14" t="s">
        <v>31</v>
      </c>
      <c r="G2" s="30" t="s">
        <v>3</v>
      </c>
      <c r="H2" s="15" t="s">
        <v>4</v>
      </c>
      <c r="I2" s="16" t="s">
        <v>9</v>
      </c>
    </row>
    <row r="3" spans="1:9" ht="12.75" customHeight="1">
      <c r="A3" s="71"/>
      <c r="B3" s="72" t="s">
        <v>156</v>
      </c>
      <c r="C3" s="75" t="s">
        <v>136</v>
      </c>
      <c r="D3" s="78">
        <v>10</v>
      </c>
      <c r="E3" s="81">
        <f>IF(C20&lt;=25%,D20,MIN(E20:F20))</f>
        <v>25</v>
      </c>
      <c r="F3" s="81">
        <f>MIN(H3:H17)</f>
        <v>18.600000000000001</v>
      </c>
      <c r="G3" s="4" t="s">
        <v>223</v>
      </c>
      <c r="H3" s="13">
        <v>25</v>
      </c>
      <c r="I3" s="29">
        <f>IF(H3="","",(IF($C$20&lt;25%,"N/A",IF(H3&lt;=($D$20+$A$20),H3,"Descartado"))))</f>
        <v>25</v>
      </c>
    </row>
    <row r="4" spans="1:9">
      <c r="A4" s="71"/>
      <c r="B4" s="73"/>
      <c r="C4" s="76"/>
      <c r="D4" s="79"/>
      <c r="E4" s="82"/>
      <c r="F4" s="82"/>
      <c r="G4" s="4" t="s">
        <v>222</v>
      </c>
      <c r="H4" s="13">
        <v>18.600000000000001</v>
      </c>
      <c r="I4" s="29">
        <f t="shared" ref="I4:I17" si="0">IF(H4="","",(IF($C$20&lt;25%,"N/A",IF(H4&lt;=($D$20+$A$20),H4,"Descartado"))))</f>
        <v>18.600000000000001</v>
      </c>
    </row>
    <row r="5" spans="1:9">
      <c r="A5" s="71"/>
      <c r="B5" s="73"/>
      <c r="C5" s="76"/>
      <c r="D5" s="79"/>
      <c r="E5" s="82"/>
      <c r="F5" s="82"/>
      <c r="G5" s="4" t="s">
        <v>334</v>
      </c>
      <c r="H5" s="13">
        <v>62.8</v>
      </c>
      <c r="I5" s="29" t="str">
        <f t="shared" si="0"/>
        <v>Descartado</v>
      </c>
    </row>
    <row r="6" spans="1:9">
      <c r="A6" s="71"/>
      <c r="B6" s="73"/>
      <c r="C6" s="76"/>
      <c r="D6" s="79"/>
      <c r="E6" s="82"/>
      <c r="F6" s="82"/>
      <c r="G6" s="4" t="s">
        <v>340</v>
      </c>
      <c r="H6" s="13">
        <v>23.81</v>
      </c>
      <c r="I6" s="29">
        <f t="shared" si="0"/>
        <v>23.81</v>
      </c>
    </row>
    <row r="7" spans="1:9">
      <c r="A7" s="71"/>
      <c r="B7" s="73"/>
      <c r="C7" s="76"/>
      <c r="D7" s="79"/>
      <c r="E7" s="82"/>
      <c r="F7" s="82"/>
      <c r="G7" s="4" t="s">
        <v>338</v>
      </c>
      <c r="H7" s="13">
        <v>36.9</v>
      </c>
      <c r="I7" s="29">
        <f t="shared" si="0"/>
        <v>36.9</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17.735386096727627</v>
      </c>
      <c r="B20" s="19">
        <f>COUNT(H3:H17)</f>
        <v>5</v>
      </c>
      <c r="C20" s="20">
        <f>IF(B20&lt;2,"N/A",(A20/D20))</f>
        <v>0.5306818101953209</v>
      </c>
      <c r="D20" s="21">
        <f>ROUND(AVERAGE(H3:H17),2)</f>
        <v>33.42</v>
      </c>
      <c r="E20" s="22">
        <f>IFERROR(ROUND(IF(B20&lt;2,"N/A",(IF(C20&lt;=25%,"N/A",AVERAGE(I3:I17)))),2),"N/A")</f>
        <v>26.08</v>
      </c>
      <c r="F20" s="22">
        <f>ROUND(MEDIAN(H3:H17),2)</f>
        <v>25</v>
      </c>
      <c r="G20" s="23" t="str">
        <f>INDEX(G3:G17,MATCH(H20,H3:H17,0))</f>
        <v>48.843.109 TEREZINHA ZULMAR MADRIL</v>
      </c>
      <c r="H20" s="24">
        <f>MIN(H3:H17)</f>
        <v>18.600000000000001</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25</v>
      </c>
    </row>
    <row r="23" spans="1:11">
      <c r="B23" s="32"/>
      <c r="C23" s="32"/>
      <c r="D23" s="67"/>
      <c r="E23" s="67"/>
      <c r="F23" s="36"/>
      <c r="G23" s="27" t="s">
        <v>8</v>
      </c>
      <c r="H23" s="28">
        <f>ROUND(H22,2)*D3</f>
        <v>250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4" sqref="G4"/>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52</v>
      </c>
      <c r="B2" s="30" t="s">
        <v>22</v>
      </c>
      <c r="C2" s="30" t="s">
        <v>1</v>
      </c>
      <c r="D2" s="30" t="s">
        <v>2</v>
      </c>
      <c r="E2" s="14" t="s">
        <v>30</v>
      </c>
      <c r="F2" s="14" t="s">
        <v>31</v>
      </c>
      <c r="G2" s="30" t="s">
        <v>3</v>
      </c>
      <c r="H2" s="15" t="s">
        <v>4</v>
      </c>
      <c r="I2" s="16" t="s">
        <v>9</v>
      </c>
    </row>
    <row r="3" spans="1:9" ht="12.75" customHeight="1">
      <c r="A3" s="71"/>
      <c r="B3" s="72" t="s">
        <v>157</v>
      </c>
      <c r="C3" s="75" t="s">
        <v>136</v>
      </c>
      <c r="D3" s="78">
        <v>200</v>
      </c>
      <c r="E3" s="81">
        <f>IF(C20&lt;=25%,D20,MIN(E20:F20))</f>
        <v>76.290000000000006</v>
      </c>
      <c r="F3" s="81">
        <f>MIN(H3:H17)</f>
        <v>42.96</v>
      </c>
      <c r="G3" s="4" t="s">
        <v>346</v>
      </c>
      <c r="H3" s="13">
        <v>42.96</v>
      </c>
      <c r="I3" s="29">
        <f>IF(H3="","",(IF($C$20&lt;25%,"N/A",IF(H3&lt;=($D$20+$A$20),H3,"Descartado"))))</f>
        <v>42.96</v>
      </c>
    </row>
    <row r="4" spans="1:9">
      <c r="A4" s="71"/>
      <c r="B4" s="73"/>
      <c r="C4" s="76"/>
      <c r="D4" s="79"/>
      <c r="E4" s="82"/>
      <c r="F4" s="82"/>
      <c r="G4" s="4" t="s">
        <v>344</v>
      </c>
      <c r="H4" s="13">
        <v>98.4</v>
      </c>
      <c r="I4" s="29">
        <f t="shared" ref="I4:I17" si="0">IF(H4="","",(IF($C$20&lt;25%,"N/A",IF(H4&lt;=($D$20+$A$20),H4,"Descartado"))))</f>
        <v>98.4</v>
      </c>
    </row>
    <row r="5" spans="1:9">
      <c r="A5" s="71"/>
      <c r="B5" s="73"/>
      <c r="C5" s="76"/>
      <c r="D5" s="79"/>
      <c r="E5" s="82"/>
      <c r="F5" s="82"/>
      <c r="G5" s="4" t="s">
        <v>345</v>
      </c>
      <c r="H5" s="13">
        <v>87.5</v>
      </c>
      <c r="I5" s="29">
        <f t="shared" si="0"/>
        <v>87.5</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29.371798265229405</v>
      </c>
      <c r="B20" s="19">
        <f>COUNT(H3:H17)</f>
        <v>3</v>
      </c>
      <c r="C20" s="20">
        <f>IF(B20&lt;2,"N/A",(A20/D20))</f>
        <v>0.38500194344251409</v>
      </c>
      <c r="D20" s="21">
        <f>ROUND(AVERAGE(H3:H17),2)</f>
        <v>76.290000000000006</v>
      </c>
      <c r="E20" s="22">
        <f>IFERROR(ROUND(IF(B20&lt;2,"N/A",(IF(C20&lt;=25%,"N/A",AVERAGE(I3:I17)))),2),"N/A")</f>
        <v>76.290000000000006</v>
      </c>
      <c r="F20" s="22">
        <f>ROUND(MEDIAN(H3:H17),2)</f>
        <v>87.5</v>
      </c>
      <c r="G20" s="23" t="str">
        <f>INDEX(G3:G17,MATCH(H20,H3:H17,0))</f>
        <v>JANDAIA</v>
      </c>
      <c r="H20" s="24">
        <f>MIN(H3:H17)</f>
        <v>42.96</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76.290000000000006</v>
      </c>
    </row>
    <row r="23" spans="1:11">
      <c r="B23" s="32"/>
      <c r="C23" s="32"/>
      <c r="D23" s="67"/>
      <c r="E23" s="67"/>
      <c r="F23" s="36"/>
      <c r="G23" s="27" t="s">
        <v>8</v>
      </c>
      <c r="H23" s="28">
        <f>ROUND(H22,2)*D3</f>
        <v>15258.000000000002</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2" sqref="G12"/>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53</v>
      </c>
      <c r="B2" s="30" t="s">
        <v>22</v>
      </c>
      <c r="C2" s="30" t="s">
        <v>1</v>
      </c>
      <c r="D2" s="30" t="s">
        <v>2</v>
      </c>
      <c r="E2" s="14" t="s">
        <v>30</v>
      </c>
      <c r="F2" s="14" t="s">
        <v>31</v>
      </c>
      <c r="G2" s="30" t="s">
        <v>3</v>
      </c>
      <c r="H2" s="15" t="s">
        <v>4</v>
      </c>
      <c r="I2" s="16" t="s">
        <v>9</v>
      </c>
    </row>
    <row r="3" spans="1:9" ht="12.75" customHeight="1">
      <c r="A3" s="71"/>
      <c r="B3" s="72" t="s">
        <v>158</v>
      </c>
      <c r="C3" s="75" t="s">
        <v>147</v>
      </c>
      <c r="D3" s="78">
        <v>5000</v>
      </c>
      <c r="E3" s="81">
        <f>IF(C20&lt;=25%,D20,MIN(E20:F20))</f>
        <v>5.2</v>
      </c>
      <c r="F3" s="81">
        <f>MIN(H3:H17)</f>
        <v>3.83</v>
      </c>
      <c r="G3" s="4" t="s">
        <v>224</v>
      </c>
      <c r="H3" s="13">
        <v>7.35</v>
      </c>
      <c r="I3" s="29" t="str">
        <f>IF(H3="","",(IF($C$20&lt;25%,"N/A",IF(H3&lt;=($D$20+$A$20),H3,"Descartado"))))</f>
        <v>N/A</v>
      </c>
    </row>
    <row r="4" spans="1:9">
      <c r="A4" s="71"/>
      <c r="B4" s="73"/>
      <c r="C4" s="76"/>
      <c r="D4" s="79"/>
      <c r="E4" s="82"/>
      <c r="F4" s="82"/>
      <c r="G4" s="4" t="s">
        <v>225</v>
      </c>
      <c r="H4" s="13">
        <v>3.83</v>
      </c>
      <c r="I4" s="29" t="str">
        <f t="shared" ref="I4:I17" si="0">IF(H4="","",(IF($C$20&lt;25%,"N/A",IF(H4&lt;=($D$20+$A$20),H4,"Descartado"))))</f>
        <v>N/A</v>
      </c>
    </row>
    <row r="5" spans="1:9">
      <c r="A5" s="71"/>
      <c r="B5" s="73"/>
      <c r="C5" s="76"/>
      <c r="D5" s="79"/>
      <c r="E5" s="82"/>
      <c r="F5" s="82"/>
      <c r="G5" s="4" t="s">
        <v>226</v>
      </c>
      <c r="H5" s="13">
        <v>3.9</v>
      </c>
      <c r="I5" s="29" t="str">
        <f t="shared" si="0"/>
        <v>N/A</v>
      </c>
    </row>
    <row r="6" spans="1:9">
      <c r="A6" s="71"/>
      <c r="B6" s="73"/>
      <c r="C6" s="76"/>
      <c r="D6" s="79"/>
      <c r="E6" s="82"/>
      <c r="F6" s="82"/>
      <c r="G6" s="4" t="s">
        <v>227</v>
      </c>
      <c r="H6" s="13">
        <v>6.16</v>
      </c>
      <c r="I6" s="29" t="str">
        <f t="shared" si="0"/>
        <v>N/A</v>
      </c>
    </row>
    <row r="7" spans="1:9">
      <c r="A7" s="71"/>
      <c r="B7" s="73"/>
      <c r="C7" s="76"/>
      <c r="D7" s="79"/>
      <c r="E7" s="82"/>
      <c r="F7" s="82"/>
      <c r="G7" s="4" t="s">
        <v>228</v>
      </c>
      <c r="H7" s="13">
        <v>5.3666</v>
      </c>
      <c r="I7" s="29" t="str">
        <f t="shared" si="0"/>
        <v>N/A</v>
      </c>
    </row>
    <row r="8" spans="1:9">
      <c r="A8" s="71"/>
      <c r="B8" s="73"/>
      <c r="C8" s="76"/>
      <c r="D8" s="79"/>
      <c r="E8" s="82"/>
      <c r="F8" s="82"/>
      <c r="G8" s="4" t="s">
        <v>229</v>
      </c>
      <c r="H8" s="13">
        <v>4.95</v>
      </c>
      <c r="I8" s="29" t="str">
        <f t="shared" si="0"/>
        <v>N/A</v>
      </c>
    </row>
    <row r="9" spans="1:9">
      <c r="A9" s="71"/>
      <c r="B9" s="73"/>
      <c r="C9" s="76"/>
      <c r="D9" s="79"/>
      <c r="E9" s="82"/>
      <c r="F9" s="82"/>
      <c r="G9" s="4" t="s">
        <v>230</v>
      </c>
      <c r="H9" s="13">
        <v>5.38</v>
      </c>
      <c r="I9" s="29" t="str">
        <f t="shared" si="0"/>
        <v>N/A</v>
      </c>
    </row>
    <row r="10" spans="1:9">
      <c r="A10" s="71"/>
      <c r="B10" s="73"/>
      <c r="C10" s="76"/>
      <c r="D10" s="79"/>
      <c r="E10" s="82"/>
      <c r="F10" s="82"/>
      <c r="G10" s="4" t="s">
        <v>231</v>
      </c>
      <c r="H10" s="13">
        <v>5.18</v>
      </c>
      <c r="I10" s="29" t="str">
        <f t="shared" si="0"/>
        <v>N/A</v>
      </c>
    </row>
    <row r="11" spans="1:9">
      <c r="A11" s="71"/>
      <c r="B11" s="73"/>
      <c r="C11" s="76"/>
      <c r="D11" s="79"/>
      <c r="E11" s="82"/>
      <c r="F11" s="82"/>
      <c r="G11" s="4" t="s">
        <v>232</v>
      </c>
      <c r="H11" s="13">
        <v>4.72</v>
      </c>
      <c r="I11" s="29" t="str">
        <f t="shared" si="0"/>
        <v>N/A</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1.0876756593764536</v>
      </c>
      <c r="B20" s="19">
        <f>COUNT(H3:H17)</f>
        <v>9</v>
      </c>
      <c r="C20" s="20">
        <f>IF(B20&lt;2,"N/A",(A20/D20))</f>
        <v>0.20916839603393339</v>
      </c>
      <c r="D20" s="21">
        <f>ROUND(AVERAGE(H3:H17),2)</f>
        <v>5.2</v>
      </c>
      <c r="E20" s="22" t="str">
        <f>IFERROR(ROUND(IF(B20&lt;2,"N/A",(IF(C20&lt;=25%,"N/A",AVERAGE(I3:I17)))),2),"N/A")</f>
        <v>N/A</v>
      </c>
      <c r="F20" s="22">
        <f>ROUND(MEDIAN(H3:H17),2)</f>
        <v>5.18</v>
      </c>
      <c r="G20" s="23" t="str">
        <f>INDEX(G3:G17,MATCH(H20,H3:H17,0))</f>
        <v>SUPRIMAX COMERCIAL LTDA</v>
      </c>
      <c r="H20" s="24">
        <f>MIN(H3:H17)</f>
        <v>3.83</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5.2</v>
      </c>
    </row>
    <row r="23" spans="1:11">
      <c r="B23" s="32"/>
      <c r="C23" s="32"/>
      <c r="D23" s="67"/>
      <c r="E23" s="67"/>
      <c r="F23" s="36"/>
      <c r="G23" s="27" t="s">
        <v>8</v>
      </c>
      <c r="H23" s="28">
        <f>ROUND(H22,2)*D3</f>
        <v>26000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36</v>
      </c>
      <c r="B2" s="30" t="s">
        <v>22</v>
      </c>
      <c r="C2" s="30" t="s">
        <v>1</v>
      </c>
      <c r="D2" s="30" t="s">
        <v>2</v>
      </c>
      <c r="E2" s="14" t="s">
        <v>30</v>
      </c>
      <c r="F2" s="14" t="s">
        <v>31</v>
      </c>
      <c r="G2" s="30" t="s">
        <v>3</v>
      </c>
      <c r="H2" s="15" t="s">
        <v>4</v>
      </c>
      <c r="I2" s="16" t="s">
        <v>9</v>
      </c>
    </row>
    <row r="3" spans="1:9" ht="12.75" customHeight="1">
      <c r="A3" s="71"/>
      <c r="B3" s="72" t="s">
        <v>137</v>
      </c>
      <c r="C3" s="75" t="s">
        <v>136</v>
      </c>
      <c r="D3" s="78">
        <v>300</v>
      </c>
      <c r="E3" s="81">
        <f>IF(C20&lt;=25%,D20,MIN(E20:F20))</f>
        <v>29.32</v>
      </c>
      <c r="F3" s="81">
        <f>MIN(H3:H17)</f>
        <v>22.41</v>
      </c>
      <c r="G3" s="4" t="s">
        <v>199</v>
      </c>
      <c r="H3" s="13">
        <v>34</v>
      </c>
      <c r="I3" s="29" t="str">
        <f>IF(H3="","",(IF($C$20&lt;25%,"N/A",IF(H3&lt;=($D$20+$A$20),H3,"Descartado"))))</f>
        <v>N/A</v>
      </c>
    </row>
    <row r="4" spans="1:9">
      <c r="A4" s="71"/>
      <c r="B4" s="73"/>
      <c r="C4" s="76"/>
      <c r="D4" s="79"/>
      <c r="E4" s="82"/>
      <c r="F4" s="82"/>
      <c r="G4" s="4" t="s">
        <v>200</v>
      </c>
      <c r="H4" s="13">
        <v>24.78</v>
      </c>
      <c r="I4" s="29" t="str">
        <f t="shared" ref="I4:I17" si="0">IF(H4="","",(IF($C$20&lt;25%,"N/A",IF(H4&lt;=($D$20+$A$20),H4,"Descartado"))))</f>
        <v>N/A</v>
      </c>
    </row>
    <row r="5" spans="1:9">
      <c r="A5" s="71"/>
      <c r="B5" s="73"/>
      <c r="C5" s="76"/>
      <c r="D5" s="79"/>
      <c r="E5" s="82"/>
      <c r="F5" s="82"/>
      <c r="G5" s="4" t="s">
        <v>201</v>
      </c>
      <c r="H5" s="13">
        <v>34</v>
      </c>
      <c r="I5" s="29" t="str">
        <f t="shared" si="0"/>
        <v>N/A</v>
      </c>
    </row>
    <row r="6" spans="1:9">
      <c r="A6" s="71"/>
      <c r="B6" s="73"/>
      <c r="C6" s="76"/>
      <c r="D6" s="79"/>
      <c r="E6" s="82"/>
      <c r="F6" s="82"/>
      <c r="G6" s="4" t="s">
        <v>202</v>
      </c>
      <c r="H6" s="13">
        <v>31.39</v>
      </c>
      <c r="I6" s="29" t="str">
        <f t="shared" si="0"/>
        <v>N/A</v>
      </c>
    </row>
    <row r="7" spans="1:9">
      <c r="A7" s="71"/>
      <c r="B7" s="73"/>
      <c r="C7" s="76"/>
      <c r="D7" s="79"/>
      <c r="E7" s="82"/>
      <c r="F7" s="82"/>
      <c r="G7" s="4" t="s">
        <v>203</v>
      </c>
      <c r="H7" s="13">
        <v>22.41</v>
      </c>
      <c r="I7" s="29" t="str">
        <f t="shared" si="0"/>
        <v>N/A</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5.3955843057077422</v>
      </c>
      <c r="B20" s="19">
        <f>COUNT(H3:H17)</f>
        <v>5</v>
      </c>
      <c r="C20" s="20">
        <f>IF(B20&lt;2,"N/A",(A20/D20))</f>
        <v>0.18402402134064605</v>
      </c>
      <c r="D20" s="21">
        <f>ROUND(AVERAGE(H3:H17),2)</f>
        <v>29.32</v>
      </c>
      <c r="E20" s="22" t="str">
        <f>IFERROR(ROUND(IF(B20&lt;2,"N/A",(IF(C20&lt;=25%,"N/A",AVERAGE(I3:I17)))),2),"N/A")</f>
        <v>N/A</v>
      </c>
      <c r="F20" s="22">
        <f>ROUND(MEDIAN(H3:H17),2)</f>
        <v>31.39</v>
      </c>
      <c r="G20" s="23" t="str">
        <f>INDEX(G3:G17,MATCH(H20,H3:H17,0))</f>
        <v>LICITATEC COMERCIO LTDA</v>
      </c>
      <c r="H20" s="24">
        <f>MIN(H3:H17)</f>
        <v>22.41</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29.32</v>
      </c>
    </row>
    <row r="23" spans="1:11">
      <c r="B23" s="32"/>
      <c r="C23" s="32"/>
      <c r="D23" s="67"/>
      <c r="E23" s="67"/>
      <c r="F23" s="36"/>
      <c r="G23" s="27" t="s">
        <v>8</v>
      </c>
      <c r="H23" s="28">
        <f>ROUND(H22,2)*D3</f>
        <v>8796</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54</v>
      </c>
      <c r="B2" s="30" t="s">
        <v>22</v>
      </c>
      <c r="C2" s="30" t="s">
        <v>1</v>
      </c>
      <c r="D2" s="30" t="s">
        <v>2</v>
      </c>
      <c r="E2" s="14" t="s">
        <v>30</v>
      </c>
      <c r="F2" s="14" t="s">
        <v>31</v>
      </c>
      <c r="G2" s="30" t="s">
        <v>3</v>
      </c>
      <c r="H2" s="15" t="s">
        <v>4</v>
      </c>
      <c r="I2" s="16" t="s">
        <v>9</v>
      </c>
    </row>
    <row r="3" spans="1:9" ht="12.75" customHeight="1">
      <c r="A3" s="71"/>
      <c r="B3" s="72" t="s">
        <v>159</v>
      </c>
      <c r="C3" s="75" t="s">
        <v>147</v>
      </c>
      <c r="D3" s="78">
        <v>1500</v>
      </c>
      <c r="E3" s="81">
        <f>IF(C20&lt;=25%,D20,MIN(E20:F20))</f>
        <v>12.23</v>
      </c>
      <c r="F3" s="81">
        <f>MIN(H3:H17)</f>
        <v>9.5</v>
      </c>
      <c r="G3" s="4" t="s">
        <v>233</v>
      </c>
      <c r="H3" s="13">
        <v>9.91</v>
      </c>
      <c r="I3" s="29">
        <f>IF(H3="","",(IF($C$20&lt;25%,"N/A",IF(H3&lt;=($D$20+$A$20),H3,"Descartado"))))</f>
        <v>9.91</v>
      </c>
    </row>
    <row r="4" spans="1:9">
      <c r="A4" s="71"/>
      <c r="B4" s="73"/>
      <c r="C4" s="76"/>
      <c r="D4" s="79"/>
      <c r="E4" s="82"/>
      <c r="F4" s="82"/>
      <c r="G4" s="4" t="s">
        <v>234</v>
      </c>
      <c r="H4" s="13">
        <v>44.9</v>
      </c>
      <c r="I4" s="29" t="str">
        <f t="shared" ref="I4:I17" si="0">IF(H4="","",(IF($C$20&lt;25%,"N/A",IF(H4&lt;=($D$20+$A$20),H4,"Descartado"))))</f>
        <v>Descartado</v>
      </c>
    </row>
    <row r="5" spans="1:9">
      <c r="A5" s="71"/>
      <c r="B5" s="73"/>
      <c r="C5" s="76"/>
      <c r="D5" s="79"/>
      <c r="E5" s="82"/>
      <c r="F5" s="82"/>
      <c r="G5" s="4" t="s">
        <v>235</v>
      </c>
      <c r="H5" s="13">
        <v>26</v>
      </c>
      <c r="I5" s="29">
        <f t="shared" si="0"/>
        <v>26</v>
      </c>
    </row>
    <row r="6" spans="1:9">
      <c r="A6" s="71"/>
      <c r="B6" s="73"/>
      <c r="C6" s="76"/>
      <c r="D6" s="79"/>
      <c r="E6" s="82"/>
      <c r="F6" s="82"/>
      <c r="G6" s="4" t="s">
        <v>236</v>
      </c>
      <c r="H6" s="13">
        <v>55.03</v>
      </c>
      <c r="I6" s="29" t="str">
        <f t="shared" si="0"/>
        <v>Descartado</v>
      </c>
    </row>
    <row r="7" spans="1:9">
      <c r="A7" s="71"/>
      <c r="B7" s="73"/>
      <c r="C7" s="76"/>
      <c r="D7" s="79"/>
      <c r="E7" s="82"/>
      <c r="F7" s="82"/>
      <c r="G7" s="4" t="s">
        <v>237</v>
      </c>
      <c r="H7" s="13">
        <v>12.46</v>
      </c>
      <c r="I7" s="29">
        <f t="shared" si="0"/>
        <v>12.46</v>
      </c>
    </row>
    <row r="8" spans="1:9">
      <c r="A8" s="71"/>
      <c r="B8" s="73"/>
      <c r="C8" s="76"/>
      <c r="D8" s="79"/>
      <c r="E8" s="82"/>
      <c r="F8" s="82"/>
      <c r="G8" s="4" t="s">
        <v>238</v>
      </c>
      <c r="H8" s="13">
        <v>9.5</v>
      </c>
      <c r="I8" s="29">
        <f t="shared" si="0"/>
        <v>9.5</v>
      </c>
    </row>
    <row r="9" spans="1:9">
      <c r="A9" s="71"/>
      <c r="B9" s="73"/>
      <c r="C9" s="76"/>
      <c r="D9" s="79"/>
      <c r="E9" s="82"/>
      <c r="F9" s="82"/>
      <c r="G9" s="4" t="s">
        <v>239</v>
      </c>
      <c r="H9" s="13">
        <v>11</v>
      </c>
      <c r="I9" s="29">
        <f t="shared" si="0"/>
        <v>11</v>
      </c>
    </row>
    <row r="10" spans="1:9">
      <c r="A10" s="71"/>
      <c r="B10" s="73"/>
      <c r="C10" s="76"/>
      <c r="D10" s="79"/>
      <c r="E10" s="82"/>
      <c r="F10" s="82"/>
      <c r="G10" s="4" t="s">
        <v>211</v>
      </c>
      <c r="H10" s="13">
        <v>11.99</v>
      </c>
      <c r="I10" s="29">
        <f t="shared" si="0"/>
        <v>11.99</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17.90112800715562</v>
      </c>
      <c r="B20" s="19">
        <f>COUNT(H3:H17)</f>
        <v>8</v>
      </c>
      <c r="C20" s="20">
        <f>IF(B20&lt;2,"N/A",(A20/D20))</f>
        <v>0.79208531005113358</v>
      </c>
      <c r="D20" s="21">
        <f>ROUND(AVERAGE(H3:H17),2)</f>
        <v>22.6</v>
      </c>
      <c r="E20" s="22">
        <f>IFERROR(ROUND(IF(B20&lt;2,"N/A",(IF(C20&lt;=25%,"N/A",AVERAGE(I3:I17)))),2),"N/A")</f>
        <v>13.48</v>
      </c>
      <c r="F20" s="22">
        <f>ROUND(MEDIAN(H3:H17),2)</f>
        <v>12.23</v>
      </c>
      <c r="G20" s="23" t="str">
        <f>INDEX(G3:G17,MATCH(H20,H3:H17,0))</f>
        <v>R. G. XAVIER GUIMARAES LTDA</v>
      </c>
      <c r="H20" s="24">
        <f>MIN(H3:H17)</f>
        <v>9.5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12.23</v>
      </c>
    </row>
    <row r="23" spans="1:11">
      <c r="B23" s="32"/>
      <c r="C23" s="32"/>
      <c r="D23" s="67"/>
      <c r="E23" s="67"/>
      <c r="F23" s="36"/>
      <c r="G23" s="27" t="s">
        <v>8</v>
      </c>
      <c r="H23" s="28">
        <f>ROUND(H22,2)*D3</f>
        <v>18345</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55</v>
      </c>
      <c r="B2" s="30" t="s">
        <v>22</v>
      </c>
      <c r="C2" s="30" t="s">
        <v>1</v>
      </c>
      <c r="D2" s="30" t="s">
        <v>2</v>
      </c>
      <c r="E2" s="14" t="s">
        <v>30</v>
      </c>
      <c r="F2" s="14" t="s">
        <v>31</v>
      </c>
      <c r="G2" s="30" t="s">
        <v>3</v>
      </c>
      <c r="H2" s="15" t="s">
        <v>4</v>
      </c>
      <c r="I2" s="16" t="s">
        <v>9</v>
      </c>
    </row>
    <row r="3" spans="1:9" ht="12.75" customHeight="1">
      <c r="A3" s="71"/>
      <c r="B3" s="72" t="s">
        <v>160</v>
      </c>
      <c r="C3" s="75" t="s">
        <v>147</v>
      </c>
      <c r="D3" s="78">
        <v>250</v>
      </c>
      <c r="E3" s="81">
        <f>IF(C20&lt;=25%,D20,MIN(E20:F20))</f>
        <v>41.06</v>
      </c>
      <c r="F3" s="81">
        <f>MIN(H3:H17)</f>
        <v>18.75</v>
      </c>
      <c r="G3" s="4" t="s">
        <v>221</v>
      </c>
      <c r="H3" s="13">
        <v>18.75</v>
      </c>
      <c r="I3" s="29">
        <f>IF(H3="","",(IF($C$20&lt;25%,"N/A",IF(H3&lt;=($D$20+$A$20),H3,"Descartado"))))</f>
        <v>18.75</v>
      </c>
    </row>
    <row r="4" spans="1:9">
      <c r="A4" s="71"/>
      <c r="B4" s="73"/>
      <c r="C4" s="76"/>
      <c r="D4" s="79"/>
      <c r="E4" s="82"/>
      <c r="F4" s="82"/>
      <c r="G4" s="4" t="s">
        <v>240</v>
      </c>
      <c r="H4" s="13">
        <v>53</v>
      </c>
      <c r="I4" s="29">
        <f t="shared" ref="I4:I17" si="0">IF(H4="","",(IF($C$20&lt;25%,"N/A",IF(H4&lt;=($D$20+$A$20),H4,"Descartado"))))</f>
        <v>53</v>
      </c>
    </row>
    <row r="5" spans="1:9">
      <c r="A5" s="71"/>
      <c r="B5" s="73"/>
      <c r="C5" s="76"/>
      <c r="D5" s="79"/>
      <c r="E5" s="82"/>
      <c r="F5" s="82"/>
      <c r="G5" s="4" t="s">
        <v>241</v>
      </c>
      <c r="H5" s="13">
        <v>48</v>
      </c>
      <c r="I5" s="29">
        <f t="shared" si="0"/>
        <v>48</v>
      </c>
    </row>
    <row r="6" spans="1:9">
      <c r="A6" s="71"/>
      <c r="B6" s="73"/>
      <c r="C6" s="76"/>
      <c r="D6" s="79"/>
      <c r="E6" s="82"/>
      <c r="F6" s="82"/>
      <c r="G6" s="4" t="s">
        <v>217</v>
      </c>
      <c r="H6" s="13">
        <v>86.56</v>
      </c>
      <c r="I6" s="29" t="str">
        <f t="shared" si="0"/>
        <v>Descartado</v>
      </c>
    </row>
    <row r="7" spans="1:9">
      <c r="A7" s="71"/>
      <c r="B7" s="73"/>
      <c r="C7" s="76"/>
      <c r="D7" s="79"/>
      <c r="E7" s="82"/>
      <c r="F7" s="82"/>
      <c r="G7" s="4" t="s">
        <v>242</v>
      </c>
      <c r="H7" s="13">
        <v>39.92</v>
      </c>
      <c r="I7" s="29">
        <f t="shared" si="0"/>
        <v>39.92</v>
      </c>
    </row>
    <row r="8" spans="1:9">
      <c r="A8" s="71"/>
      <c r="B8" s="73"/>
      <c r="C8" s="76"/>
      <c r="D8" s="79"/>
      <c r="E8" s="82"/>
      <c r="F8" s="82"/>
      <c r="G8" s="4" t="s">
        <v>243</v>
      </c>
      <c r="H8" s="13">
        <v>42.67</v>
      </c>
      <c r="I8" s="29">
        <f t="shared" si="0"/>
        <v>42.67</v>
      </c>
    </row>
    <row r="9" spans="1:9">
      <c r="A9" s="71"/>
      <c r="B9" s="73"/>
      <c r="C9" s="76"/>
      <c r="D9" s="79"/>
      <c r="E9" s="82"/>
      <c r="F9" s="82"/>
      <c r="G9" s="4" t="s">
        <v>244</v>
      </c>
      <c r="H9" s="13">
        <v>77.94</v>
      </c>
      <c r="I9" s="29" t="str">
        <f t="shared" si="0"/>
        <v>Descartado</v>
      </c>
    </row>
    <row r="10" spans="1:9">
      <c r="A10" s="71"/>
      <c r="B10" s="73"/>
      <c r="C10" s="76"/>
      <c r="D10" s="79"/>
      <c r="E10" s="82"/>
      <c r="F10" s="82"/>
      <c r="G10" s="4" t="s">
        <v>245</v>
      </c>
      <c r="H10" s="13">
        <v>44.04</v>
      </c>
      <c r="I10" s="29">
        <f t="shared" si="0"/>
        <v>44.04</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21.65607733903547</v>
      </c>
      <c r="B20" s="19">
        <f>COUNT(H3:H17)</f>
        <v>8</v>
      </c>
      <c r="C20" s="20">
        <f>IF(B20&lt;2,"N/A",(A20/D20))</f>
        <v>0.42165259616502082</v>
      </c>
      <c r="D20" s="21">
        <f>ROUND(AVERAGE(H3:H17),2)</f>
        <v>51.36</v>
      </c>
      <c r="E20" s="22">
        <f>IFERROR(ROUND(IF(B20&lt;2,"N/A",(IF(C20&lt;=25%,"N/A",AVERAGE(I3:I17)))),2),"N/A")</f>
        <v>41.06</v>
      </c>
      <c r="F20" s="22">
        <f>ROUND(MEDIAN(H3:H17),2)</f>
        <v>46.02</v>
      </c>
      <c r="G20" s="23" t="str">
        <f>INDEX(G3:G17,MATCH(H20,H3:H17,0))</f>
        <v>RC RAMOS COMERCIO LTDA</v>
      </c>
      <c r="H20" s="24">
        <f>MIN(H3:H17)</f>
        <v>18.75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41.06</v>
      </c>
    </row>
    <row r="23" spans="1:11">
      <c r="B23" s="32"/>
      <c r="C23" s="32"/>
      <c r="D23" s="67"/>
      <c r="E23" s="67"/>
      <c r="F23" s="36"/>
      <c r="G23" s="27" t="s">
        <v>8</v>
      </c>
      <c r="H23" s="28">
        <f>ROUND(H22,2)*D3</f>
        <v>10265</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56</v>
      </c>
      <c r="B2" s="30" t="s">
        <v>22</v>
      </c>
      <c r="C2" s="30" t="s">
        <v>1</v>
      </c>
      <c r="D2" s="30" t="s">
        <v>2</v>
      </c>
      <c r="E2" s="14" t="s">
        <v>30</v>
      </c>
      <c r="F2" s="14" t="s">
        <v>31</v>
      </c>
      <c r="G2" s="30" t="s">
        <v>3</v>
      </c>
      <c r="H2" s="15" t="s">
        <v>4</v>
      </c>
      <c r="I2" s="16" t="s">
        <v>9</v>
      </c>
    </row>
    <row r="3" spans="1:9" ht="12.75" customHeight="1">
      <c r="A3" s="71"/>
      <c r="B3" s="72" t="s">
        <v>161</v>
      </c>
      <c r="C3" s="75" t="s">
        <v>136</v>
      </c>
      <c r="D3" s="78">
        <v>8000</v>
      </c>
      <c r="E3" s="81">
        <f>IF(C20&lt;=25%,D20,MIN(E20:F20))</f>
        <v>2.2400000000000002</v>
      </c>
      <c r="F3" s="81">
        <f>MIN(H3:H17)</f>
        <v>1.27</v>
      </c>
      <c r="G3" s="4" t="s">
        <v>246</v>
      </c>
      <c r="H3" s="13">
        <v>1.27</v>
      </c>
      <c r="I3" s="29">
        <f>IF(H3="","",(IF($C$20&lt;25%,"N/A",IF(H3&lt;=($D$20+$A$20),H3,"Descartado"))))</f>
        <v>1.27</v>
      </c>
    </row>
    <row r="4" spans="1:9">
      <c r="A4" s="71"/>
      <c r="B4" s="73"/>
      <c r="C4" s="76"/>
      <c r="D4" s="79"/>
      <c r="E4" s="82"/>
      <c r="F4" s="82"/>
      <c r="G4" s="4" t="s">
        <v>340</v>
      </c>
      <c r="H4" s="13">
        <v>6.9</v>
      </c>
      <c r="I4" s="29" t="str">
        <f t="shared" ref="I4:I17" si="0">IF(H4="","",(IF($C$20&lt;25%,"N/A",IF(H4&lt;=($D$20+$A$20),H4,"Descartado"))))</f>
        <v>Descartado</v>
      </c>
    </row>
    <row r="5" spans="1:9">
      <c r="A5" s="71"/>
      <c r="B5" s="73"/>
      <c r="C5" s="76"/>
      <c r="D5" s="79"/>
      <c r="E5" s="82"/>
      <c r="F5" s="82"/>
      <c r="G5" s="4" t="s">
        <v>347</v>
      </c>
      <c r="H5" s="13">
        <v>3.5</v>
      </c>
      <c r="I5" s="29">
        <f t="shared" si="0"/>
        <v>3.5</v>
      </c>
    </row>
    <row r="6" spans="1:9">
      <c r="A6" s="71"/>
      <c r="B6" s="73"/>
      <c r="C6" s="76"/>
      <c r="D6" s="79"/>
      <c r="E6" s="82"/>
      <c r="F6" s="82"/>
      <c r="G6" s="4" t="s">
        <v>348</v>
      </c>
      <c r="H6" s="13">
        <v>1.95</v>
      </c>
      <c r="I6" s="29">
        <f t="shared" si="0"/>
        <v>1.95</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2.5099335980592534</v>
      </c>
      <c r="B20" s="19">
        <f>COUNT(H3:H17)</f>
        <v>4</v>
      </c>
      <c r="C20" s="20">
        <f>IF(B20&lt;2,"N/A",(A20/D20))</f>
        <v>0.73605090852177513</v>
      </c>
      <c r="D20" s="21">
        <f>ROUND(AVERAGE(H3:H17),2)</f>
        <v>3.41</v>
      </c>
      <c r="E20" s="22">
        <f>IFERROR(ROUND(IF(B20&lt;2,"N/A",(IF(C20&lt;=25%,"N/A",AVERAGE(I3:I17)))),2),"N/A")</f>
        <v>2.2400000000000002</v>
      </c>
      <c r="F20" s="22">
        <f>ROUND(MEDIAN(H3:H17),2)</f>
        <v>2.73</v>
      </c>
      <c r="G20" s="23" t="str">
        <f>INDEX(G3:G17,MATCH(H20,H3:H17,0))</f>
        <v>TACCUINO DISTRIBUIDORA DE MATERIAIS LTDA</v>
      </c>
      <c r="H20" s="24">
        <f>MIN(H3:H17)</f>
        <v>1.27</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2.2400000000000002</v>
      </c>
    </row>
    <row r="23" spans="1:11">
      <c r="B23" s="32"/>
      <c r="C23" s="32"/>
      <c r="D23" s="67"/>
      <c r="E23" s="67"/>
      <c r="F23" s="36"/>
      <c r="G23" s="27" t="s">
        <v>8</v>
      </c>
      <c r="H23" s="28">
        <f>ROUND(H22,2)*D3</f>
        <v>17920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6" sqref="G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57</v>
      </c>
      <c r="B2" s="30" t="s">
        <v>22</v>
      </c>
      <c r="C2" s="30" t="s">
        <v>1</v>
      </c>
      <c r="D2" s="30" t="s">
        <v>2</v>
      </c>
      <c r="E2" s="14" t="s">
        <v>30</v>
      </c>
      <c r="F2" s="14" t="s">
        <v>31</v>
      </c>
      <c r="G2" s="30" t="s">
        <v>3</v>
      </c>
      <c r="H2" s="15" t="s">
        <v>4</v>
      </c>
      <c r="I2" s="16" t="s">
        <v>9</v>
      </c>
    </row>
    <row r="3" spans="1:9" ht="12.75" customHeight="1">
      <c r="A3" s="71"/>
      <c r="B3" s="72" t="s">
        <v>162</v>
      </c>
      <c r="C3" s="75" t="s">
        <v>136</v>
      </c>
      <c r="D3" s="78">
        <v>250</v>
      </c>
      <c r="E3" s="81">
        <f>IF(C20&lt;=25%,D20,MIN(E20:F20))</f>
        <v>15.69</v>
      </c>
      <c r="F3" s="81">
        <f>MIN(H3:H17)</f>
        <v>15.12</v>
      </c>
      <c r="G3" s="4" t="s">
        <v>247</v>
      </c>
      <c r="H3" s="13">
        <v>15.12</v>
      </c>
      <c r="I3" s="29" t="str">
        <f>IF(H3="","",(IF($C$20&lt;25%,"N/A",IF(H3&lt;=($D$20+$A$20),H3,"Descartado"))))</f>
        <v>N/A</v>
      </c>
    </row>
    <row r="4" spans="1:9">
      <c r="A4" s="71"/>
      <c r="B4" s="73"/>
      <c r="C4" s="76"/>
      <c r="D4" s="79"/>
      <c r="E4" s="82"/>
      <c r="F4" s="82"/>
      <c r="G4" s="4" t="s">
        <v>248</v>
      </c>
      <c r="H4" s="13">
        <v>15.69</v>
      </c>
      <c r="I4" s="29" t="str">
        <f t="shared" ref="I4:I17" si="0">IF(H4="","",(IF($C$20&lt;25%,"N/A",IF(H4&lt;=($D$20+$A$20),H4,"Descartado"))))</f>
        <v>N/A</v>
      </c>
    </row>
    <row r="5" spans="1:9">
      <c r="A5" s="71"/>
      <c r="B5" s="73"/>
      <c r="C5" s="76"/>
      <c r="D5" s="79"/>
      <c r="E5" s="82"/>
      <c r="F5" s="82"/>
      <c r="G5" s="4" t="s">
        <v>249</v>
      </c>
      <c r="H5" s="13">
        <v>16.25</v>
      </c>
      <c r="I5" s="29" t="str">
        <f t="shared" si="0"/>
        <v>N/A</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0.56500737458314099</v>
      </c>
      <c r="B20" s="19">
        <f>COUNT(H3:H17)</f>
        <v>3</v>
      </c>
      <c r="C20" s="20">
        <f>IF(B20&lt;2,"N/A",(A20/D20))</f>
        <v>3.6010667596121163E-2</v>
      </c>
      <c r="D20" s="21">
        <f>ROUND(AVERAGE(H3:H17),2)</f>
        <v>15.69</v>
      </c>
      <c r="E20" s="22" t="str">
        <f>IFERROR(ROUND(IF(B20&lt;2,"N/A",(IF(C20&lt;=25%,"N/A",AVERAGE(I3:I17)))),2),"N/A")</f>
        <v>N/A</v>
      </c>
      <c r="F20" s="22">
        <f>ROUND(MEDIAN(H3:H17),2)</f>
        <v>15.69</v>
      </c>
      <c r="G20" s="23" t="str">
        <f>INDEX(G3:G17,MATCH(H20,H3:H17,0))</f>
        <v>W C SILVA LTDA</v>
      </c>
      <c r="H20" s="24">
        <f>MIN(H3:H17)</f>
        <v>15.12</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15.69</v>
      </c>
    </row>
    <row r="23" spans="1:11">
      <c r="B23" s="32"/>
      <c r="C23" s="32"/>
      <c r="D23" s="67"/>
      <c r="E23" s="67"/>
      <c r="F23" s="36"/>
      <c r="G23" s="27" t="s">
        <v>8</v>
      </c>
      <c r="H23" s="28">
        <f>ROUND(H22,2)*D3</f>
        <v>3922.5</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2" sqref="G12"/>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58</v>
      </c>
      <c r="B2" s="30" t="s">
        <v>22</v>
      </c>
      <c r="C2" s="30" t="s">
        <v>1</v>
      </c>
      <c r="D2" s="30" t="s">
        <v>2</v>
      </c>
      <c r="E2" s="14" t="s">
        <v>30</v>
      </c>
      <c r="F2" s="14" t="s">
        <v>31</v>
      </c>
      <c r="G2" s="30" t="s">
        <v>3</v>
      </c>
      <c r="H2" s="15" t="s">
        <v>4</v>
      </c>
      <c r="I2" s="16" t="s">
        <v>9</v>
      </c>
    </row>
    <row r="3" spans="1:9" ht="12.75" customHeight="1">
      <c r="A3" s="71"/>
      <c r="B3" s="72" t="s">
        <v>163</v>
      </c>
      <c r="C3" s="75" t="s">
        <v>147</v>
      </c>
      <c r="D3" s="78">
        <v>500</v>
      </c>
      <c r="E3" s="81">
        <f>IF(C20&lt;=25%,D20,MIN(E20:F20))</f>
        <v>29.5</v>
      </c>
      <c r="F3" s="81">
        <f>MIN(H3:H17)</f>
        <v>22</v>
      </c>
      <c r="G3" s="4" t="s">
        <v>241</v>
      </c>
      <c r="H3" s="13">
        <v>33.49</v>
      </c>
      <c r="I3" s="29" t="str">
        <f>IF(H3="","",(IF($C$20&lt;25%,"N/A",IF(H3&lt;=($D$20+$A$20),H3,"Descartado"))))</f>
        <v>N/A</v>
      </c>
    </row>
    <row r="4" spans="1:9">
      <c r="A4" s="71"/>
      <c r="B4" s="73"/>
      <c r="C4" s="76"/>
      <c r="D4" s="79"/>
      <c r="E4" s="82"/>
      <c r="F4" s="82"/>
      <c r="G4" s="4" t="s">
        <v>250</v>
      </c>
      <c r="H4" s="13">
        <v>25.74</v>
      </c>
      <c r="I4" s="29" t="str">
        <f t="shared" ref="I4:I17" si="0">IF(H4="","",(IF($C$20&lt;25%,"N/A",IF(H4&lt;=($D$20+$A$20),H4,"Descartado"))))</f>
        <v>N/A</v>
      </c>
    </row>
    <row r="5" spans="1:9">
      <c r="A5" s="71"/>
      <c r="B5" s="73"/>
      <c r="C5" s="76"/>
      <c r="D5" s="79"/>
      <c r="E5" s="82"/>
      <c r="F5" s="82"/>
      <c r="G5" s="4" t="s">
        <v>251</v>
      </c>
      <c r="H5" s="13">
        <v>24.95</v>
      </c>
      <c r="I5" s="29" t="str">
        <f t="shared" si="0"/>
        <v>N/A</v>
      </c>
    </row>
    <row r="6" spans="1:9">
      <c r="A6" s="71"/>
      <c r="B6" s="73"/>
      <c r="C6" s="76"/>
      <c r="D6" s="79"/>
      <c r="E6" s="82"/>
      <c r="F6" s="82"/>
      <c r="G6" s="4" t="s">
        <v>252</v>
      </c>
      <c r="H6" s="13">
        <v>29.48</v>
      </c>
      <c r="I6" s="29" t="str">
        <f t="shared" si="0"/>
        <v>N/A</v>
      </c>
    </row>
    <row r="7" spans="1:9">
      <c r="A7" s="71"/>
      <c r="B7" s="73"/>
      <c r="C7" s="76"/>
      <c r="D7" s="79"/>
      <c r="E7" s="82"/>
      <c r="F7" s="82"/>
      <c r="G7" s="4" t="s">
        <v>253</v>
      </c>
      <c r="H7" s="13">
        <v>28</v>
      </c>
      <c r="I7" s="29" t="str">
        <f t="shared" si="0"/>
        <v>N/A</v>
      </c>
    </row>
    <row r="8" spans="1:9">
      <c r="A8" s="71"/>
      <c r="B8" s="73"/>
      <c r="C8" s="76"/>
      <c r="D8" s="79"/>
      <c r="E8" s="82"/>
      <c r="F8" s="82"/>
      <c r="G8" s="4" t="s">
        <v>254</v>
      </c>
      <c r="H8" s="13">
        <v>39.65</v>
      </c>
      <c r="I8" s="29" t="str">
        <f t="shared" si="0"/>
        <v>N/A</v>
      </c>
    </row>
    <row r="9" spans="1:9">
      <c r="A9" s="71"/>
      <c r="B9" s="73"/>
      <c r="C9" s="76"/>
      <c r="D9" s="79"/>
      <c r="E9" s="82"/>
      <c r="F9" s="82"/>
      <c r="G9" s="4" t="s">
        <v>255</v>
      </c>
      <c r="H9" s="13">
        <v>26.75</v>
      </c>
      <c r="I9" s="29" t="str">
        <f t="shared" si="0"/>
        <v>N/A</v>
      </c>
    </row>
    <row r="10" spans="1:9">
      <c r="A10" s="71"/>
      <c r="B10" s="73"/>
      <c r="C10" s="76"/>
      <c r="D10" s="79"/>
      <c r="E10" s="82"/>
      <c r="F10" s="82"/>
      <c r="G10" s="4" t="s">
        <v>256</v>
      </c>
      <c r="H10" s="13">
        <v>35.479999999999997</v>
      </c>
      <c r="I10" s="29" t="str">
        <f t="shared" si="0"/>
        <v>N/A</v>
      </c>
    </row>
    <row r="11" spans="1:9">
      <c r="A11" s="71"/>
      <c r="B11" s="73"/>
      <c r="C11" s="76"/>
      <c r="D11" s="79"/>
      <c r="E11" s="82"/>
      <c r="F11" s="82"/>
      <c r="G11" s="4" t="s">
        <v>257</v>
      </c>
      <c r="H11" s="13">
        <v>22</v>
      </c>
      <c r="I11" s="29" t="str">
        <f t="shared" si="0"/>
        <v>N/A</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5.6524974814481448</v>
      </c>
      <c r="B20" s="19">
        <f>COUNT(H3:H17)</f>
        <v>9</v>
      </c>
      <c r="C20" s="20">
        <f>IF(B20&lt;2,"N/A",(A20/D20))</f>
        <v>0.19161008411688626</v>
      </c>
      <c r="D20" s="21">
        <f>ROUND(AVERAGE(H3:H17),2)</f>
        <v>29.5</v>
      </c>
      <c r="E20" s="22" t="str">
        <f>IFERROR(ROUND(IF(B20&lt;2,"N/A",(IF(C20&lt;=25%,"N/A",AVERAGE(I3:I17)))),2),"N/A")</f>
        <v>N/A</v>
      </c>
      <c r="F20" s="22">
        <f>ROUND(MEDIAN(H3:H17),2)</f>
        <v>28</v>
      </c>
      <c r="G20" s="23" t="str">
        <f>INDEX(G3:G17,MATCH(H20,H3:H17,0))</f>
        <v>MAXIMA ATACADISTA LTDA</v>
      </c>
      <c r="H20" s="24">
        <f>MIN(H3:H17)</f>
        <v>22</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29.5</v>
      </c>
    </row>
    <row r="23" spans="1:11">
      <c r="B23" s="32"/>
      <c r="C23" s="32"/>
      <c r="D23" s="67"/>
      <c r="E23" s="67"/>
      <c r="F23" s="36"/>
      <c r="G23" s="27" t="s">
        <v>8</v>
      </c>
      <c r="H23" s="28">
        <f>ROUND(H22,2)*D3</f>
        <v>14750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59</v>
      </c>
      <c r="B2" s="30" t="s">
        <v>22</v>
      </c>
      <c r="C2" s="30" t="s">
        <v>1</v>
      </c>
      <c r="D2" s="30" t="s">
        <v>2</v>
      </c>
      <c r="E2" s="14" t="s">
        <v>30</v>
      </c>
      <c r="F2" s="14" t="s">
        <v>31</v>
      </c>
      <c r="G2" s="30" t="s">
        <v>3</v>
      </c>
      <c r="H2" s="15" t="s">
        <v>4</v>
      </c>
      <c r="I2" s="16" t="s">
        <v>9</v>
      </c>
    </row>
    <row r="3" spans="1:9" ht="12.75" customHeight="1">
      <c r="A3" s="71"/>
      <c r="B3" s="72" t="s">
        <v>164</v>
      </c>
      <c r="C3" s="75" t="s">
        <v>147</v>
      </c>
      <c r="D3" s="78">
        <v>800</v>
      </c>
      <c r="E3" s="81">
        <f>IF(C20&lt;=25%,D20,MIN(E20:F20))</f>
        <v>1.77</v>
      </c>
      <c r="F3" s="81">
        <f>MIN(H3:H17)</f>
        <v>1.1000000000000001</v>
      </c>
      <c r="G3" s="4" t="s">
        <v>258</v>
      </c>
      <c r="H3" s="13">
        <v>4.8600000000000003</v>
      </c>
      <c r="I3" s="29" t="str">
        <f>IF(H3="","",(IF($C$20&lt;25%,"N/A",IF(H3&lt;=($D$20+$A$20),H3,"Descartado"))))</f>
        <v>Descartado</v>
      </c>
    </row>
    <row r="4" spans="1:9">
      <c r="A4" s="71"/>
      <c r="B4" s="73"/>
      <c r="C4" s="76"/>
      <c r="D4" s="79"/>
      <c r="E4" s="82"/>
      <c r="F4" s="82"/>
      <c r="G4" s="4" t="s">
        <v>230</v>
      </c>
      <c r="H4" s="13">
        <v>2.1800000000000002</v>
      </c>
      <c r="I4" s="29">
        <f t="shared" ref="I4:I17" si="0">IF(H4="","",(IF($C$20&lt;25%,"N/A",IF(H4&lt;=($D$20+$A$20),H4,"Descartado"))))</f>
        <v>2.1800000000000002</v>
      </c>
    </row>
    <row r="5" spans="1:9">
      <c r="A5" s="71"/>
      <c r="B5" s="73"/>
      <c r="C5" s="76"/>
      <c r="D5" s="79"/>
      <c r="E5" s="82"/>
      <c r="F5" s="82"/>
      <c r="G5" s="4" t="s">
        <v>259</v>
      </c>
      <c r="H5" s="13">
        <v>1.1000000000000001</v>
      </c>
      <c r="I5" s="29">
        <f t="shared" si="0"/>
        <v>1.1000000000000001</v>
      </c>
    </row>
    <row r="6" spans="1:9">
      <c r="A6" s="71"/>
      <c r="B6" s="73"/>
      <c r="C6" s="76"/>
      <c r="D6" s="79"/>
      <c r="E6" s="82"/>
      <c r="F6" s="82"/>
      <c r="G6" s="4" t="s">
        <v>349</v>
      </c>
      <c r="H6" s="13">
        <v>2.52</v>
      </c>
      <c r="I6" s="29">
        <f t="shared" si="0"/>
        <v>2.52</v>
      </c>
    </row>
    <row r="7" spans="1:9">
      <c r="A7" s="71"/>
      <c r="B7" s="73"/>
      <c r="C7" s="76"/>
      <c r="D7" s="79"/>
      <c r="E7" s="82"/>
      <c r="F7" s="82"/>
      <c r="G7" s="4" t="s">
        <v>339</v>
      </c>
      <c r="H7" s="13">
        <v>1.44</v>
      </c>
      <c r="I7" s="29">
        <f t="shared" si="0"/>
        <v>1.44</v>
      </c>
    </row>
    <row r="8" spans="1:9">
      <c r="A8" s="71"/>
      <c r="B8" s="73"/>
      <c r="C8" s="76"/>
      <c r="D8" s="79"/>
      <c r="E8" s="82"/>
      <c r="F8" s="82"/>
      <c r="G8" s="4" t="s">
        <v>350</v>
      </c>
      <c r="H8" s="13">
        <v>1.6</v>
      </c>
      <c r="I8" s="29">
        <f t="shared" si="0"/>
        <v>1.6</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1.3626689497697773</v>
      </c>
      <c r="B20" s="19">
        <f>COUNT(H3:H17)</f>
        <v>6</v>
      </c>
      <c r="C20" s="20">
        <f>IF(B20&lt;2,"N/A",(A20/D20))</f>
        <v>0.59766182007446378</v>
      </c>
      <c r="D20" s="21">
        <f>ROUND(AVERAGE(H3:H17),2)</f>
        <v>2.2799999999999998</v>
      </c>
      <c r="E20" s="22">
        <f>IFERROR(ROUND(IF(B20&lt;2,"N/A",(IF(C20&lt;=25%,"N/A",AVERAGE(I3:I17)))),2),"N/A")</f>
        <v>1.77</v>
      </c>
      <c r="F20" s="22">
        <f>ROUND(MEDIAN(H3:H17),2)</f>
        <v>1.89</v>
      </c>
      <c r="G20" s="23" t="str">
        <f>INDEX(G3:G17,MATCH(H20,H3:H17,0))</f>
        <v>PAPELARIA FAVARETTO E PIMENTEL LTDA</v>
      </c>
      <c r="H20" s="24">
        <f>MIN(H3:H17)</f>
        <v>1.1000000000000001</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1.77</v>
      </c>
    </row>
    <row r="23" spans="1:11">
      <c r="B23" s="32"/>
      <c r="C23" s="32"/>
      <c r="D23" s="67"/>
      <c r="E23" s="67"/>
      <c r="F23" s="36"/>
      <c r="G23" s="27" t="s">
        <v>8</v>
      </c>
      <c r="H23" s="28">
        <f>ROUND(H22,2)*D3</f>
        <v>1416</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60</v>
      </c>
      <c r="B2" s="30" t="s">
        <v>22</v>
      </c>
      <c r="C2" s="30" t="s">
        <v>1</v>
      </c>
      <c r="D2" s="30" t="s">
        <v>2</v>
      </c>
      <c r="E2" s="14" t="s">
        <v>30</v>
      </c>
      <c r="F2" s="14" t="s">
        <v>31</v>
      </c>
      <c r="G2" s="30" t="s">
        <v>3</v>
      </c>
      <c r="H2" s="15" t="s">
        <v>4</v>
      </c>
      <c r="I2" s="16" t="s">
        <v>9</v>
      </c>
    </row>
    <row r="3" spans="1:9" ht="12.75" customHeight="1">
      <c r="A3" s="71"/>
      <c r="B3" s="72" t="s">
        <v>165</v>
      </c>
      <c r="C3" s="75" t="s">
        <v>136</v>
      </c>
      <c r="D3" s="78">
        <v>400</v>
      </c>
      <c r="E3" s="81">
        <f>IF(C20&lt;=25%,D20,MIN(E20:F20))</f>
        <v>5.43</v>
      </c>
      <c r="F3" s="81">
        <f>MIN(H3:H17)</f>
        <v>2.25</v>
      </c>
      <c r="G3" s="4" t="s">
        <v>260</v>
      </c>
      <c r="H3" s="13">
        <v>4.4000000000000004</v>
      </c>
      <c r="I3" s="29">
        <f>IF(H3="","",(IF($C$20&lt;25%,"N/A",IF(H3&lt;=($D$20+$A$20),H3,"Descartado"))))</f>
        <v>4.4000000000000004</v>
      </c>
    </row>
    <row r="4" spans="1:9">
      <c r="A4" s="71"/>
      <c r="B4" s="73"/>
      <c r="C4" s="76"/>
      <c r="D4" s="79"/>
      <c r="E4" s="82"/>
      <c r="F4" s="82"/>
      <c r="G4" s="4" t="s">
        <v>261</v>
      </c>
      <c r="H4" s="13">
        <v>2.25</v>
      </c>
      <c r="I4" s="29">
        <f t="shared" ref="I4:I17" si="0">IF(H4="","",(IF($C$20&lt;25%,"N/A",IF(H4&lt;=($D$20+$A$20),H4,"Descartado"))))</f>
        <v>2.25</v>
      </c>
    </row>
    <row r="5" spans="1:9">
      <c r="A5" s="71"/>
      <c r="B5" s="73"/>
      <c r="C5" s="76"/>
      <c r="D5" s="79"/>
      <c r="E5" s="82"/>
      <c r="F5" s="82"/>
      <c r="G5" s="4" t="s">
        <v>230</v>
      </c>
      <c r="H5" s="13">
        <v>10</v>
      </c>
      <c r="I5" s="29" t="str">
        <f t="shared" si="0"/>
        <v>Descartado</v>
      </c>
    </row>
    <row r="6" spans="1:9">
      <c r="A6" s="71"/>
      <c r="B6" s="73"/>
      <c r="C6" s="76"/>
      <c r="D6" s="79"/>
      <c r="E6" s="82"/>
      <c r="F6" s="82"/>
      <c r="G6" s="4" t="s">
        <v>351</v>
      </c>
      <c r="H6" s="13">
        <v>5.89</v>
      </c>
      <c r="I6" s="29">
        <f t="shared" si="0"/>
        <v>5.89</v>
      </c>
    </row>
    <row r="7" spans="1:9">
      <c r="A7" s="71"/>
      <c r="B7" s="73"/>
      <c r="C7" s="76"/>
      <c r="D7" s="79"/>
      <c r="E7" s="82"/>
      <c r="F7" s="82"/>
      <c r="G7" s="4" t="s">
        <v>339</v>
      </c>
      <c r="H7" s="13">
        <v>8</v>
      </c>
      <c r="I7" s="29">
        <f t="shared" si="0"/>
        <v>8</v>
      </c>
    </row>
    <row r="8" spans="1:9">
      <c r="A8" s="71"/>
      <c r="B8" s="73"/>
      <c r="C8" s="76"/>
      <c r="D8" s="79"/>
      <c r="E8" s="82"/>
      <c r="F8" s="82"/>
      <c r="G8" s="4" t="s">
        <v>352</v>
      </c>
      <c r="H8" s="13">
        <v>6.6</v>
      </c>
      <c r="I8" s="29">
        <f t="shared" si="0"/>
        <v>6.6</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2.7121209412561229</v>
      </c>
      <c r="B20" s="19">
        <f>COUNT(H3:H17)</f>
        <v>6</v>
      </c>
      <c r="C20" s="20">
        <f>IF(B20&lt;2,"N/A",(A20/D20))</f>
        <v>0.43814554786043985</v>
      </c>
      <c r="D20" s="21">
        <f>ROUND(AVERAGE(H3:H17),2)</f>
        <v>6.19</v>
      </c>
      <c r="E20" s="22">
        <f>IFERROR(ROUND(IF(B20&lt;2,"N/A",(IF(C20&lt;=25%,"N/A",AVERAGE(I3:I17)))),2),"N/A")</f>
        <v>5.43</v>
      </c>
      <c r="F20" s="22">
        <f>ROUND(MEDIAN(H3:H17),2)</f>
        <v>6.25</v>
      </c>
      <c r="G20" s="23" t="str">
        <f>INDEX(G3:G17,MATCH(H20,H3:H17,0))</f>
        <v>R DA S AGUIAR COMERCIO DE MATERIAL DE LIMPEZA LTDA</v>
      </c>
      <c r="H20" s="24">
        <f>MIN(H3:H17)</f>
        <v>2.25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5.43</v>
      </c>
    </row>
    <row r="23" spans="1:11">
      <c r="B23" s="32"/>
      <c r="C23" s="32"/>
      <c r="D23" s="67"/>
      <c r="E23" s="67"/>
      <c r="F23" s="36"/>
      <c r="G23" s="27" t="s">
        <v>8</v>
      </c>
      <c r="H23" s="28">
        <f>ROUND(H22,2)*D3</f>
        <v>2172</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3" sqref="G13"/>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61</v>
      </c>
      <c r="B2" s="30" t="s">
        <v>22</v>
      </c>
      <c r="C2" s="30" t="s">
        <v>1</v>
      </c>
      <c r="D2" s="30" t="s">
        <v>2</v>
      </c>
      <c r="E2" s="14" t="s">
        <v>30</v>
      </c>
      <c r="F2" s="14" t="s">
        <v>31</v>
      </c>
      <c r="G2" s="30" t="s">
        <v>3</v>
      </c>
      <c r="H2" s="15" t="s">
        <v>4</v>
      </c>
      <c r="I2" s="16" t="s">
        <v>9</v>
      </c>
    </row>
    <row r="3" spans="1:9" ht="12.75" customHeight="1">
      <c r="A3" s="71"/>
      <c r="B3" s="72" t="s">
        <v>166</v>
      </c>
      <c r="C3" s="75" t="s">
        <v>147</v>
      </c>
      <c r="D3" s="78">
        <v>500</v>
      </c>
      <c r="E3" s="81">
        <f>IF(C20&lt;=25%,D20,MIN(E20:F20))</f>
        <v>1.03</v>
      </c>
      <c r="F3" s="81">
        <f>MIN(H3:H17)</f>
        <v>0.74</v>
      </c>
      <c r="G3" s="4" t="s">
        <v>262</v>
      </c>
      <c r="H3" s="13">
        <v>0.87</v>
      </c>
      <c r="I3" s="29" t="str">
        <f>IF(H3="","",(IF($C$20&lt;25%,"N/A",IF(H3&lt;=($D$20+$A$20),H3,"Descartado"))))</f>
        <v>N/A</v>
      </c>
    </row>
    <row r="4" spans="1:9">
      <c r="A4" s="71"/>
      <c r="B4" s="73"/>
      <c r="C4" s="76"/>
      <c r="D4" s="79"/>
      <c r="E4" s="82"/>
      <c r="F4" s="82"/>
      <c r="G4" s="4" t="s">
        <v>220</v>
      </c>
      <c r="H4" s="13">
        <v>1.01</v>
      </c>
      <c r="I4" s="29" t="str">
        <f t="shared" ref="I4:I17" si="0">IF(H4="","",(IF($C$20&lt;25%,"N/A",IF(H4&lt;=($D$20+$A$20),H4,"Descartado"))))</f>
        <v>N/A</v>
      </c>
    </row>
    <row r="5" spans="1:9">
      <c r="A5" s="71"/>
      <c r="B5" s="73"/>
      <c r="C5" s="76"/>
      <c r="D5" s="79"/>
      <c r="E5" s="82"/>
      <c r="F5" s="82"/>
      <c r="G5" s="4" t="s">
        <v>263</v>
      </c>
      <c r="H5" s="13">
        <v>1.24</v>
      </c>
      <c r="I5" s="29" t="str">
        <f t="shared" si="0"/>
        <v>N/A</v>
      </c>
    </row>
    <row r="6" spans="1:9">
      <c r="A6" s="71"/>
      <c r="B6" s="73"/>
      <c r="C6" s="76"/>
      <c r="D6" s="79"/>
      <c r="E6" s="82"/>
      <c r="F6" s="82"/>
      <c r="G6" s="4" t="s">
        <v>264</v>
      </c>
      <c r="H6" s="13">
        <v>1.1000000000000001</v>
      </c>
      <c r="I6" s="29" t="str">
        <f t="shared" si="0"/>
        <v>N/A</v>
      </c>
    </row>
    <row r="7" spans="1:9">
      <c r="A7" s="71"/>
      <c r="B7" s="73"/>
      <c r="C7" s="76"/>
      <c r="D7" s="79"/>
      <c r="E7" s="82"/>
      <c r="F7" s="82"/>
      <c r="G7" s="4" t="s">
        <v>265</v>
      </c>
      <c r="H7" s="13">
        <v>1.4</v>
      </c>
      <c r="I7" s="29" t="str">
        <f t="shared" si="0"/>
        <v>N/A</v>
      </c>
    </row>
    <row r="8" spans="1:9">
      <c r="A8" s="71"/>
      <c r="B8" s="73"/>
      <c r="C8" s="76"/>
      <c r="D8" s="79"/>
      <c r="E8" s="82"/>
      <c r="F8" s="82"/>
      <c r="G8" s="4" t="s">
        <v>240</v>
      </c>
      <c r="H8" s="13">
        <v>0.98</v>
      </c>
      <c r="I8" s="29" t="str">
        <f t="shared" si="0"/>
        <v>N/A</v>
      </c>
    </row>
    <row r="9" spans="1:9">
      <c r="A9" s="71"/>
      <c r="B9" s="73"/>
      <c r="C9" s="76"/>
      <c r="D9" s="79"/>
      <c r="E9" s="82"/>
      <c r="F9" s="82"/>
      <c r="G9" s="4" t="s">
        <v>266</v>
      </c>
      <c r="H9" s="13">
        <v>0.89</v>
      </c>
      <c r="I9" s="29" t="str">
        <f t="shared" si="0"/>
        <v>N/A</v>
      </c>
    </row>
    <row r="10" spans="1:9">
      <c r="A10" s="71"/>
      <c r="B10" s="73"/>
      <c r="C10" s="76"/>
      <c r="D10" s="79"/>
      <c r="E10" s="82"/>
      <c r="F10" s="82"/>
      <c r="G10" s="4" t="s">
        <v>267</v>
      </c>
      <c r="H10" s="13">
        <v>1.05</v>
      </c>
      <c r="I10" s="29" t="str">
        <f t="shared" si="0"/>
        <v>N/A</v>
      </c>
    </row>
    <row r="11" spans="1:9">
      <c r="A11" s="71"/>
      <c r="B11" s="73"/>
      <c r="C11" s="76"/>
      <c r="D11" s="79"/>
      <c r="E11" s="82"/>
      <c r="F11" s="82"/>
      <c r="G11" s="4" t="s">
        <v>268</v>
      </c>
      <c r="H11" s="13">
        <v>1</v>
      </c>
      <c r="I11" s="29" t="str">
        <f t="shared" si="0"/>
        <v>N/A</v>
      </c>
    </row>
    <row r="12" spans="1:9">
      <c r="A12" s="71"/>
      <c r="B12" s="73"/>
      <c r="C12" s="76"/>
      <c r="D12" s="79"/>
      <c r="E12" s="82"/>
      <c r="F12" s="82"/>
      <c r="G12" s="4" t="s">
        <v>269</v>
      </c>
      <c r="H12" s="13">
        <v>0.74</v>
      </c>
      <c r="I12" s="29" t="str">
        <f t="shared" si="0"/>
        <v>N/A</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0.18837315213279254</v>
      </c>
      <c r="B20" s="19">
        <f>COUNT(H3:H17)</f>
        <v>10</v>
      </c>
      <c r="C20" s="20">
        <f>IF(B20&lt;2,"N/A",(A20/D20))</f>
        <v>0.18288655546873062</v>
      </c>
      <c r="D20" s="21">
        <f>ROUND(AVERAGE(H3:H17),2)</f>
        <v>1.03</v>
      </c>
      <c r="E20" s="22" t="str">
        <f>IFERROR(ROUND(IF(B20&lt;2,"N/A",(IF(C20&lt;=25%,"N/A",AVERAGE(I3:I17)))),2),"N/A")</f>
        <v>N/A</v>
      </c>
      <c r="F20" s="22">
        <f>ROUND(MEDIAN(H3:H17),2)</f>
        <v>1.01</v>
      </c>
      <c r="G20" s="23" t="str">
        <f>INDEX(G3:G17,MATCH(H20,H3:H17,0))</f>
        <v>LIVRARIA E PAPELARIA PRATICA LTDA</v>
      </c>
      <c r="H20" s="24">
        <f>MIN(H3:H17)</f>
        <v>0.74</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1.03</v>
      </c>
    </row>
    <row r="23" spans="1:11">
      <c r="B23" s="32"/>
      <c r="C23" s="32"/>
      <c r="D23" s="67"/>
      <c r="E23" s="67"/>
      <c r="F23" s="36"/>
      <c r="G23" s="27" t="s">
        <v>8</v>
      </c>
      <c r="H23" s="28">
        <f>ROUND(H22,2)*D3</f>
        <v>515</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3" sqref="G3:H12"/>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62</v>
      </c>
      <c r="B2" s="30" t="s">
        <v>22</v>
      </c>
      <c r="C2" s="30" t="s">
        <v>1</v>
      </c>
      <c r="D2" s="30" t="s">
        <v>2</v>
      </c>
      <c r="E2" s="14" t="s">
        <v>30</v>
      </c>
      <c r="F2" s="14" t="s">
        <v>31</v>
      </c>
      <c r="G2" s="30" t="s">
        <v>3</v>
      </c>
      <c r="H2" s="15" t="s">
        <v>4</v>
      </c>
      <c r="I2" s="16" t="s">
        <v>9</v>
      </c>
    </row>
    <row r="3" spans="1:9" ht="12.75" customHeight="1">
      <c r="A3" s="71"/>
      <c r="B3" s="72" t="s">
        <v>167</v>
      </c>
      <c r="C3" s="75" t="s">
        <v>147</v>
      </c>
      <c r="D3" s="78">
        <f>35000*0.25</f>
        <v>8750</v>
      </c>
      <c r="E3" s="81">
        <f>IF(C20&lt;=25%,D20,MIN(E20:F20))</f>
        <v>2.62</v>
      </c>
      <c r="F3" s="81">
        <f>MIN(H3:H17)</f>
        <v>1.8</v>
      </c>
      <c r="G3" s="4" t="s">
        <v>226</v>
      </c>
      <c r="H3" s="13">
        <v>1.8</v>
      </c>
      <c r="I3" s="29">
        <f>IF(H3="","",(IF($C$20&lt;25%,"N/A",IF(H3&lt;=($D$20+$A$20),H3,"Descartado"))))</f>
        <v>1.8</v>
      </c>
    </row>
    <row r="4" spans="1:9">
      <c r="A4" s="71"/>
      <c r="B4" s="73"/>
      <c r="C4" s="76"/>
      <c r="D4" s="79"/>
      <c r="E4" s="82"/>
      <c r="F4" s="82"/>
      <c r="G4" s="4" t="s">
        <v>270</v>
      </c>
      <c r="H4" s="13">
        <v>2.0512000000000001</v>
      </c>
      <c r="I4" s="29">
        <f t="shared" ref="I4:I17" si="0">IF(H4="","",(IF($C$20&lt;25%,"N/A",IF(H4&lt;=($D$20+$A$20),H4,"Descartado"))))</f>
        <v>2.0512000000000001</v>
      </c>
    </row>
    <row r="5" spans="1:9">
      <c r="A5" s="71"/>
      <c r="B5" s="73"/>
      <c r="C5" s="76"/>
      <c r="D5" s="79"/>
      <c r="E5" s="82"/>
      <c r="F5" s="82"/>
      <c r="G5" s="4" t="s">
        <v>271</v>
      </c>
      <c r="H5" s="13">
        <v>4.04</v>
      </c>
      <c r="I5" s="29">
        <f t="shared" si="0"/>
        <v>4.04</v>
      </c>
    </row>
    <row r="6" spans="1:9">
      <c r="A6" s="71"/>
      <c r="B6" s="73"/>
      <c r="C6" s="76"/>
      <c r="D6" s="79"/>
      <c r="E6" s="82"/>
      <c r="F6" s="82"/>
      <c r="G6" s="4" t="s">
        <v>353</v>
      </c>
      <c r="H6" s="13">
        <v>4.78</v>
      </c>
      <c r="I6" s="29" t="str">
        <f t="shared" si="0"/>
        <v>Descartado</v>
      </c>
    </row>
    <row r="7" spans="1:9">
      <c r="A7" s="71"/>
      <c r="B7" s="73"/>
      <c r="C7" s="76"/>
      <c r="D7" s="79"/>
      <c r="E7" s="82"/>
      <c r="F7" s="82"/>
      <c r="G7" s="4" t="s">
        <v>329</v>
      </c>
      <c r="H7" s="13">
        <v>2.6</v>
      </c>
      <c r="I7" s="29">
        <f t="shared" si="0"/>
        <v>2.6</v>
      </c>
    </row>
    <row r="8" spans="1:9">
      <c r="A8" s="71"/>
      <c r="B8" s="73"/>
      <c r="C8" s="76"/>
      <c r="D8" s="79"/>
      <c r="E8" s="82"/>
      <c r="F8" s="82"/>
      <c r="G8" s="4" t="s">
        <v>354</v>
      </c>
      <c r="H8" s="13">
        <v>4.78</v>
      </c>
      <c r="I8" s="29" t="str">
        <f t="shared" si="0"/>
        <v>Descartado</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1.3577469965596189</v>
      </c>
      <c r="B20" s="19">
        <f>COUNT(H3:H17)</f>
        <v>6</v>
      </c>
      <c r="C20" s="20">
        <f>IF(B20&lt;2,"N/A",(A20/D20))</f>
        <v>0.40651107681425719</v>
      </c>
      <c r="D20" s="21">
        <f>ROUND(AVERAGE(H3:H17),2)</f>
        <v>3.34</v>
      </c>
      <c r="E20" s="22">
        <f>IFERROR(ROUND(IF(B20&lt;2,"N/A",(IF(C20&lt;=25%,"N/A",AVERAGE(I3:I17)))),2),"N/A")</f>
        <v>2.62</v>
      </c>
      <c r="F20" s="22">
        <f>ROUND(MEDIAN(H3:H17),2)</f>
        <v>3.32</v>
      </c>
      <c r="G20" s="23" t="str">
        <f>INDEX(G3:G17,MATCH(H20,H3:H17,0))</f>
        <v>COMERCIAL PROMOSTORE CONFECCOES LTDA</v>
      </c>
      <c r="H20" s="24">
        <f>MIN(H3:H17)</f>
        <v>1.8</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2.62</v>
      </c>
    </row>
    <row r="23" spans="1:11">
      <c r="B23" s="32"/>
      <c r="C23" s="32"/>
      <c r="D23" s="67"/>
      <c r="E23" s="67"/>
      <c r="F23" s="36"/>
      <c r="G23" s="27" t="s">
        <v>8</v>
      </c>
      <c r="H23" s="28">
        <f>ROUND(H22,2)*D3</f>
        <v>22925</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63</v>
      </c>
      <c r="B2" s="30" t="s">
        <v>22</v>
      </c>
      <c r="C2" s="30" t="s">
        <v>1</v>
      </c>
      <c r="D2" s="30" t="s">
        <v>2</v>
      </c>
      <c r="E2" s="14" t="s">
        <v>30</v>
      </c>
      <c r="F2" s="14" t="s">
        <v>31</v>
      </c>
      <c r="G2" s="30" t="s">
        <v>3</v>
      </c>
      <c r="H2" s="15" t="s">
        <v>4</v>
      </c>
      <c r="I2" s="16" t="s">
        <v>9</v>
      </c>
    </row>
    <row r="3" spans="1:9" ht="12.75" customHeight="1">
      <c r="A3" s="71"/>
      <c r="B3" s="72" t="s">
        <v>168</v>
      </c>
      <c r="C3" s="75" t="s">
        <v>147</v>
      </c>
      <c r="D3" s="78">
        <v>1500</v>
      </c>
      <c r="E3" s="81">
        <f>IF(C20&lt;=25%,D20,MIN(E20:F20))</f>
        <v>4.5</v>
      </c>
      <c r="F3" s="81">
        <f>MIN(H3:H17)</f>
        <v>1.58</v>
      </c>
      <c r="G3" s="4" t="s">
        <v>263</v>
      </c>
      <c r="H3" s="13">
        <v>3.9</v>
      </c>
      <c r="I3" s="29">
        <f>IF(H3="","",(IF($C$20&lt;25%,"N/A",IF(H3&lt;=($D$20+$A$20),H3,"Descartado"))))</f>
        <v>3.9</v>
      </c>
    </row>
    <row r="4" spans="1:9">
      <c r="A4" s="71"/>
      <c r="B4" s="73"/>
      <c r="C4" s="76"/>
      <c r="D4" s="79"/>
      <c r="E4" s="82"/>
      <c r="F4" s="82"/>
      <c r="G4" s="4" t="s">
        <v>258</v>
      </c>
      <c r="H4" s="13">
        <v>8.89</v>
      </c>
      <c r="I4" s="29">
        <f t="shared" ref="I4:I17" si="0">IF(H4="","",(IF($C$20&lt;25%,"N/A",IF(H4&lt;=($D$20+$A$20),H4,"Descartado"))))</f>
        <v>8.89</v>
      </c>
    </row>
    <row r="5" spans="1:9">
      <c r="A5" s="71"/>
      <c r="B5" s="73"/>
      <c r="C5" s="76"/>
      <c r="D5" s="79"/>
      <c r="E5" s="82"/>
      <c r="F5" s="82"/>
      <c r="G5" s="4" t="s">
        <v>216</v>
      </c>
      <c r="H5" s="13">
        <v>4.5</v>
      </c>
      <c r="I5" s="29">
        <f t="shared" si="0"/>
        <v>4.5</v>
      </c>
    </row>
    <row r="6" spans="1:9">
      <c r="A6" s="71"/>
      <c r="B6" s="73"/>
      <c r="C6" s="76"/>
      <c r="D6" s="79"/>
      <c r="E6" s="82"/>
      <c r="F6" s="82"/>
      <c r="G6" s="4" t="s">
        <v>246</v>
      </c>
      <c r="H6" s="13">
        <v>1.58</v>
      </c>
      <c r="I6" s="29">
        <f t="shared" si="0"/>
        <v>1.58</v>
      </c>
    </row>
    <row r="7" spans="1:9">
      <c r="A7" s="71"/>
      <c r="B7" s="73"/>
      <c r="C7" s="76"/>
      <c r="D7" s="79"/>
      <c r="E7" s="82"/>
      <c r="F7" s="82"/>
      <c r="G7" s="4" t="s">
        <v>217</v>
      </c>
      <c r="H7" s="13">
        <v>58.89</v>
      </c>
      <c r="I7" s="29" t="str">
        <f t="shared" si="0"/>
        <v>Descartado</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24.370561544617718</v>
      </c>
      <c r="B20" s="19">
        <f>COUNT(H3:H17)</f>
        <v>5</v>
      </c>
      <c r="C20" s="20">
        <f>IF(B20&lt;2,"N/A",(A20/D20))</f>
        <v>1.5672386845413322</v>
      </c>
      <c r="D20" s="21">
        <f>ROUND(AVERAGE(H3:H17),2)</f>
        <v>15.55</v>
      </c>
      <c r="E20" s="22">
        <f>IFERROR(ROUND(IF(B20&lt;2,"N/A",(IF(C20&lt;=25%,"N/A",AVERAGE(I3:I17)))),2),"N/A")</f>
        <v>4.72</v>
      </c>
      <c r="F20" s="22">
        <f>ROUND(MEDIAN(H3:H17),2)</f>
        <v>4.5</v>
      </c>
      <c r="G20" s="23" t="str">
        <f>INDEX(G3:G17,MATCH(H20,H3:H17,0))</f>
        <v>TACCUINO DISTRIBUIDORA DE MATERIAIS LTDA</v>
      </c>
      <c r="H20" s="24">
        <f>MIN(H3:H17)</f>
        <v>1.58</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4.5</v>
      </c>
    </row>
    <row r="23" spans="1:11">
      <c r="B23" s="32"/>
      <c r="C23" s="32"/>
      <c r="D23" s="67"/>
      <c r="E23" s="67"/>
      <c r="F23" s="36"/>
      <c r="G23" s="27" t="s">
        <v>8</v>
      </c>
      <c r="H23" s="28">
        <f>ROUND(H22,2)*D3</f>
        <v>6750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37</v>
      </c>
      <c r="B2" s="30" t="s">
        <v>22</v>
      </c>
      <c r="C2" s="30" t="s">
        <v>1</v>
      </c>
      <c r="D2" s="30" t="s">
        <v>2</v>
      </c>
      <c r="E2" s="14" t="s">
        <v>30</v>
      </c>
      <c r="F2" s="14" t="s">
        <v>31</v>
      </c>
      <c r="G2" s="30" t="s">
        <v>3</v>
      </c>
      <c r="H2" s="15" t="s">
        <v>4</v>
      </c>
      <c r="I2" s="16" t="s">
        <v>9</v>
      </c>
    </row>
    <row r="3" spans="1:9" ht="12.75" customHeight="1">
      <c r="A3" s="71"/>
      <c r="B3" s="72" t="s">
        <v>138</v>
      </c>
      <c r="C3" s="75" t="s">
        <v>139</v>
      </c>
      <c r="D3" s="78">
        <v>2500</v>
      </c>
      <c r="E3" s="81">
        <f>IF(C20&lt;=25%,D20,MIN(E20:F20))</f>
        <v>15.4</v>
      </c>
      <c r="F3" s="81">
        <f>MIN(H3:H17)</f>
        <v>13</v>
      </c>
      <c r="G3" s="4" t="s">
        <v>195</v>
      </c>
      <c r="H3" s="13">
        <v>36.950000000000003</v>
      </c>
      <c r="I3" s="29" t="str">
        <f>IF(H3="","",(IF($C$20&lt;25%,"N/A",IF(H3&lt;=($D$20+$A$20),H3,"Descartado"))))</f>
        <v>Descartado</v>
      </c>
    </row>
    <row r="4" spans="1:9">
      <c r="A4" s="71"/>
      <c r="B4" s="73"/>
      <c r="C4" s="76"/>
      <c r="D4" s="79"/>
      <c r="E4" s="82"/>
      <c r="F4" s="82"/>
      <c r="G4" s="4" t="s">
        <v>370</v>
      </c>
      <c r="H4" s="13">
        <v>18.690000000000001</v>
      </c>
      <c r="I4" s="29">
        <f t="shared" ref="I4:I17" si="0">IF(H4="","",(IF($C$20&lt;25%,"N/A",IF(H4&lt;=($D$20+$A$20),H4,"Descartado"))))</f>
        <v>18.690000000000001</v>
      </c>
    </row>
    <row r="5" spans="1:9">
      <c r="A5" s="71"/>
      <c r="B5" s="73"/>
      <c r="C5" s="76"/>
      <c r="D5" s="79"/>
      <c r="E5" s="82"/>
      <c r="F5" s="82"/>
      <c r="G5" s="4" t="s">
        <v>350</v>
      </c>
      <c r="H5" s="13">
        <v>13</v>
      </c>
      <c r="I5" s="29">
        <f t="shared" si="0"/>
        <v>13</v>
      </c>
    </row>
    <row r="6" spans="1:9">
      <c r="A6" s="71"/>
      <c r="B6" s="73"/>
      <c r="C6" s="76"/>
      <c r="D6" s="79"/>
      <c r="E6" s="82"/>
      <c r="F6" s="82"/>
      <c r="G6" s="4" t="s">
        <v>347</v>
      </c>
      <c r="H6" s="13">
        <v>14.5</v>
      </c>
      <c r="I6" s="29">
        <f t="shared" si="0"/>
        <v>14.5</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11.04239859209342</v>
      </c>
      <c r="B20" s="19">
        <f>COUNT(H3:H17)</f>
        <v>4</v>
      </c>
      <c r="C20" s="20">
        <f>IF(B20&lt;2,"N/A",(A20/D20))</f>
        <v>0.53113990341959694</v>
      </c>
      <c r="D20" s="21">
        <f>ROUND(AVERAGE(H3:H17),2)</f>
        <v>20.79</v>
      </c>
      <c r="E20" s="22">
        <f>IFERROR(ROUND(IF(B20&lt;2,"N/A",(IF(C20&lt;=25%,"N/A",AVERAGE(I3:I17)))),2),"N/A")</f>
        <v>15.4</v>
      </c>
      <c r="F20" s="22">
        <f>ROUND(MEDIAN(H3:H17),2)</f>
        <v>16.600000000000001</v>
      </c>
      <c r="G20" s="23" t="str">
        <f>INDEX(G3:G17,MATCH(H20,H3:H17,0))</f>
        <v>PAPELARIA BLAU</v>
      </c>
      <c r="H20" s="24">
        <f>MIN(H3:H17)</f>
        <v>13</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15.4</v>
      </c>
    </row>
    <row r="23" spans="1:11">
      <c r="B23" s="32"/>
      <c r="C23" s="32"/>
      <c r="D23" s="67"/>
      <c r="E23" s="67"/>
      <c r="F23" s="36"/>
      <c r="G23" s="27" t="s">
        <v>8</v>
      </c>
      <c r="H23" s="28">
        <f>ROUND(H22,2)*D3</f>
        <v>38500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64</v>
      </c>
      <c r="B2" s="30" t="s">
        <v>22</v>
      </c>
      <c r="C2" s="30" t="s">
        <v>1</v>
      </c>
      <c r="D2" s="30" t="s">
        <v>2</v>
      </c>
      <c r="E2" s="14" t="s">
        <v>30</v>
      </c>
      <c r="F2" s="14" t="s">
        <v>31</v>
      </c>
      <c r="G2" s="30" t="s">
        <v>3</v>
      </c>
      <c r="H2" s="15" t="s">
        <v>4</v>
      </c>
      <c r="I2" s="16" t="s">
        <v>9</v>
      </c>
    </row>
    <row r="3" spans="1:9" ht="12.75" customHeight="1">
      <c r="A3" s="71"/>
      <c r="B3" s="72" t="s">
        <v>169</v>
      </c>
      <c r="C3" s="75" t="s">
        <v>170</v>
      </c>
      <c r="D3" s="78">
        <v>5000</v>
      </c>
      <c r="E3" s="81">
        <f>IF(C20&lt;=25%,D20,MIN(E20:F20))</f>
        <v>4.4000000000000004</v>
      </c>
      <c r="F3" s="81">
        <f>MIN(H3:H17)</f>
        <v>2.44</v>
      </c>
      <c r="G3" s="4" t="s">
        <v>241</v>
      </c>
      <c r="H3" s="13">
        <v>3.8</v>
      </c>
      <c r="I3" s="29">
        <f>IF(H3="","",(IF($C$20&lt;25%,"N/A",IF(H3&lt;=($D$20+$A$20),H3,"Descartado"))))</f>
        <v>3.8</v>
      </c>
    </row>
    <row r="4" spans="1:9">
      <c r="A4" s="71"/>
      <c r="B4" s="73"/>
      <c r="C4" s="76"/>
      <c r="D4" s="79"/>
      <c r="E4" s="82"/>
      <c r="F4" s="82"/>
      <c r="G4" s="4" t="s">
        <v>272</v>
      </c>
      <c r="H4" s="13">
        <v>16.98</v>
      </c>
      <c r="I4" s="29" t="str">
        <f t="shared" ref="I4:I17" si="0">IF(H4="","",(IF($C$20&lt;25%,"N/A",IF(H4&lt;=($D$20+$A$20),H4,"Descartado"))))</f>
        <v>Descartado</v>
      </c>
    </row>
    <row r="5" spans="1:9">
      <c r="A5" s="71"/>
      <c r="B5" s="73"/>
      <c r="C5" s="76"/>
      <c r="D5" s="79"/>
      <c r="E5" s="82"/>
      <c r="F5" s="82"/>
      <c r="G5" s="4" t="s">
        <v>273</v>
      </c>
      <c r="H5" s="13">
        <v>5</v>
      </c>
      <c r="I5" s="29">
        <f t="shared" si="0"/>
        <v>5</v>
      </c>
    </row>
    <row r="6" spans="1:9">
      <c r="A6" s="71"/>
      <c r="B6" s="73"/>
      <c r="C6" s="76"/>
      <c r="D6" s="79"/>
      <c r="E6" s="82"/>
      <c r="F6" s="82"/>
      <c r="G6" s="4" t="s">
        <v>274</v>
      </c>
      <c r="H6" s="13">
        <v>2.6</v>
      </c>
      <c r="I6" s="29">
        <f t="shared" si="0"/>
        <v>2.6</v>
      </c>
    </row>
    <row r="7" spans="1:9">
      <c r="A7" s="71"/>
      <c r="B7" s="73"/>
      <c r="C7" s="76"/>
      <c r="D7" s="79"/>
      <c r="E7" s="82"/>
      <c r="F7" s="82"/>
      <c r="G7" s="4" t="s">
        <v>275</v>
      </c>
      <c r="H7" s="13">
        <v>12</v>
      </c>
      <c r="I7" s="29">
        <f t="shared" si="0"/>
        <v>12</v>
      </c>
    </row>
    <row r="8" spans="1:9">
      <c r="A8" s="71"/>
      <c r="B8" s="73"/>
      <c r="C8" s="76"/>
      <c r="D8" s="79"/>
      <c r="E8" s="82"/>
      <c r="F8" s="82"/>
      <c r="G8" s="4" t="s">
        <v>276</v>
      </c>
      <c r="H8" s="13">
        <v>2.44</v>
      </c>
      <c r="I8" s="29">
        <f t="shared" si="0"/>
        <v>2.44</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5.9813365284580557</v>
      </c>
      <c r="B20" s="19">
        <f>COUNT(H3:H17)</f>
        <v>6</v>
      </c>
      <c r="C20" s="20">
        <f>IF(B20&lt;2,"N/A",(A20/D20))</f>
        <v>0.83772220286527399</v>
      </c>
      <c r="D20" s="21">
        <f>ROUND(AVERAGE(H3:H17),2)</f>
        <v>7.14</v>
      </c>
      <c r="E20" s="22">
        <f>IFERROR(ROUND(IF(B20&lt;2,"N/A",(IF(C20&lt;=25%,"N/A",AVERAGE(I3:I17)))),2),"N/A")</f>
        <v>5.17</v>
      </c>
      <c r="F20" s="22">
        <f>ROUND(MEDIAN(H3:H17),2)</f>
        <v>4.4000000000000004</v>
      </c>
      <c r="G20" s="23" t="str">
        <f>INDEX(G3:G17,MATCH(H20,H3:H17,0))</f>
        <v>BARBOSA MACEDO &amp; CIA LTDA</v>
      </c>
      <c r="H20" s="24">
        <f>MIN(H3:H17)</f>
        <v>2.44</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4.4000000000000004</v>
      </c>
    </row>
    <row r="23" spans="1:11">
      <c r="B23" s="32"/>
      <c r="C23" s="32"/>
      <c r="D23" s="67"/>
      <c r="E23" s="67"/>
      <c r="F23" s="36"/>
      <c r="G23" s="27" t="s">
        <v>8</v>
      </c>
      <c r="H23" s="28">
        <f>ROUND(H22,2)*D3</f>
        <v>22000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65</v>
      </c>
      <c r="B2" s="30" t="s">
        <v>22</v>
      </c>
      <c r="C2" s="30" t="s">
        <v>1</v>
      </c>
      <c r="D2" s="30" t="s">
        <v>2</v>
      </c>
      <c r="E2" s="14" t="s">
        <v>30</v>
      </c>
      <c r="F2" s="14" t="s">
        <v>31</v>
      </c>
      <c r="G2" s="30" t="s">
        <v>3</v>
      </c>
      <c r="H2" s="15" t="s">
        <v>4</v>
      </c>
      <c r="I2" s="16" t="s">
        <v>9</v>
      </c>
    </row>
    <row r="3" spans="1:9" ht="12.75" customHeight="1">
      <c r="A3" s="71"/>
      <c r="B3" s="72" t="s">
        <v>171</v>
      </c>
      <c r="C3" s="75" t="s">
        <v>147</v>
      </c>
      <c r="D3" s="78">
        <v>300</v>
      </c>
      <c r="E3" s="81">
        <f>IF(C20&lt;=25%,D20,MIN(E20:F20))</f>
        <v>8.74</v>
      </c>
      <c r="F3" s="81">
        <f>MIN(H3:H17)</f>
        <v>4.9800000000000004</v>
      </c>
      <c r="G3" s="4" t="s">
        <v>215</v>
      </c>
      <c r="H3" s="13">
        <v>8.5</v>
      </c>
      <c r="I3" s="29">
        <f>IF(H3="","",(IF($C$20&lt;25%,"N/A",IF(H3&lt;=($D$20+$A$20),H3,"Descartado"))))</f>
        <v>8.5</v>
      </c>
    </row>
    <row r="4" spans="1:9">
      <c r="A4" s="71"/>
      <c r="B4" s="73"/>
      <c r="C4" s="76"/>
      <c r="D4" s="79"/>
      <c r="E4" s="82"/>
      <c r="F4" s="82"/>
      <c r="G4" s="4" t="s">
        <v>355</v>
      </c>
      <c r="H4" s="13">
        <v>9.99</v>
      </c>
      <c r="I4" s="29">
        <f t="shared" ref="I4:I17" si="0">IF(H4="","",(IF($C$20&lt;25%,"N/A",IF(H4&lt;=($D$20+$A$20),H4,"Descartado"))))</f>
        <v>9.99</v>
      </c>
    </row>
    <row r="5" spans="1:9">
      <c r="A5" s="71"/>
      <c r="B5" s="73"/>
      <c r="C5" s="76"/>
      <c r="D5" s="79"/>
      <c r="E5" s="82"/>
      <c r="F5" s="82"/>
      <c r="G5" s="4" t="s">
        <v>334</v>
      </c>
      <c r="H5" s="13">
        <v>11.5</v>
      </c>
      <c r="I5" s="29">
        <f t="shared" si="0"/>
        <v>11.5</v>
      </c>
    </row>
    <row r="6" spans="1:9">
      <c r="A6" s="71"/>
      <c r="B6" s="73"/>
      <c r="C6" s="76"/>
      <c r="D6" s="79"/>
      <c r="E6" s="82"/>
      <c r="F6" s="82"/>
      <c r="G6" s="4" t="s">
        <v>356</v>
      </c>
      <c r="H6" s="13">
        <v>4.9800000000000004</v>
      </c>
      <c r="I6" s="29">
        <f t="shared" si="0"/>
        <v>4.9800000000000004</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2.791372123765183</v>
      </c>
      <c r="B20" s="19">
        <f>COUNT(H3:H17)</f>
        <v>4</v>
      </c>
      <c r="C20" s="20">
        <f>IF(B20&lt;2,"N/A",(A20/D20))</f>
        <v>0.31937896152919715</v>
      </c>
      <c r="D20" s="21">
        <f>ROUND(AVERAGE(H3:H17),2)</f>
        <v>8.74</v>
      </c>
      <c r="E20" s="22">
        <f>IFERROR(ROUND(IF(B20&lt;2,"N/A",(IF(C20&lt;=25%,"N/A",AVERAGE(I3:I17)))),2),"N/A")</f>
        <v>8.74</v>
      </c>
      <c r="F20" s="22">
        <f>ROUND(MEDIAN(H3:H17),2)</f>
        <v>9.25</v>
      </c>
      <c r="G20" s="23" t="str">
        <f>INDEX(G3:G17,MATCH(H20,H3:H17,0))</f>
        <v>LOJA DO MECANICO</v>
      </c>
      <c r="H20" s="24">
        <f>MIN(H3:H17)</f>
        <v>4.9800000000000004</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8.74</v>
      </c>
    </row>
    <row r="23" spans="1:11">
      <c r="B23" s="32"/>
      <c r="C23" s="32"/>
      <c r="D23" s="67"/>
      <c r="E23" s="67"/>
      <c r="F23" s="36"/>
      <c r="G23" s="27" t="s">
        <v>8</v>
      </c>
      <c r="H23" s="28">
        <f>ROUND(H22,2)*D3</f>
        <v>2622</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66</v>
      </c>
      <c r="B2" s="30" t="s">
        <v>22</v>
      </c>
      <c r="C2" s="30" t="s">
        <v>1</v>
      </c>
      <c r="D2" s="30" t="s">
        <v>2</v>
      </c>
      <c r="E2" s="14" t="s">
        <v>30</v>
      </c>
      <c r="F2" s="14" t="s">
        <v>31</v>
      </c>
      <c r="G2" s="30" t="s">
        <v>3</v>
      </c>
      <c r="H2" s="15" t="s">
        <v>4</v>
      </c>
      <c r="I2" s="16" t="s">
        <v>9</v>
      </c>
    </row>
    <row r="3" spans="1:9" ht="12.75" customHeight="1">
      <c r="A3" s="71"/>
      <c r="B3" s="72" t="s">
        <v>172</v>
      </c>
      <c r="C3" s="75" t="s">
        <v>147</v>
      </c>
      <c r="D3" s="78">
        <v>10500</v>
      </c>
      <c r="E3" s="81">
        <f>IF(C20&lt;=25%,D20,MIN(E20:F20))</f>
        <v>1.95</v>
      </c>
      <c r="F3" s="81">
        <f>MIN(H3:H17)</f>
        <v>1.39</v>
      </c>
      <c r="G3" s="4" t="s">
        <v>277</v>
      </c>
      <c r="H3" s="13">
        <v>1.97</v>
      </c>
      <c r="I3" s="29">
        <f>IF(H3="","",(IF($C$20&lt;25%,"N/A",IF(H3&lt;=($D$20+$A$20),H3,"Descartado"))))</f>
        <v>1.97</v>
      </c>
    </row>
    <row r="4" spans="1:9">
      <c r="A4" s="71"/>
      <c r="B4" s="73"/>
      <c r="C4" s="76"/>
      <c r="D4" s="79"/>
      <c r="E4" s="82"/>
      <c r="F4" s="82"/>
      <c r="G4" s="4" t="s">
        <v>329</v>
      </c>
      <c r="H4" s="13">
        <v>3.7</v>
      </c>
      <c r="I4" s="29" t="str">
        <f t="shared" ref="I4:I17" si="0">IF(H4="","",(IF($C$20&lt;25%,"N/A",IF(H4&lt;=($D$20+$A$20),H4,"Descartado"))))</f>
        <v>Descartado</v>
      </c>
    </row>
    <row r="5" spans="1:9">
      <c r="A5" s="71"/>
      <c r="B5" s="73"/>
      <c r="C5" s="76"/>
      <c r="D5" s="79"/>
      <c r="E5" s="82"/>
      <c r="F5" s="82"/>
      <c r="G5" s="4" t="s">
        <v>332</v>
      </c>
      <c r="H5" s="13">
        <v>2.5</v>
      </c>
      <c r="I5" s="29">
        <f t="shared" si="0"/>
        <v>2.5</v>
      </c>
    </row>
    <row r="6" spans="1:9">
      <c r="A6" s="71"/>
      <c r="B6" s="73"/>
      <c r="C6" s="76"/>
      <c r="D6" s="79"/>
      <c r="E6" s="82"/>
      <c r="F6" s="82"/>
      <c r="G6" s="4" t="s">
        <v>342</v>
      </c>
      <c r="H6" s="13">
        <v>1.39</v>
      </c>
      <c r="I6" s="29">
        <f t="shared" si="0"/>
        <v>1.39</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0.98397154430400047</v>
      </c>
      <c r="B20" s="19">
        <f>COUNT(H3:H17)</f>
        <v>4</v>
      </c>
      <c r="C20" s="20">
        <f>IF(B20&lt;2,"N/A",(A20/D20))</f>
        <v>0.4117035750225943</v>
      </c>
      <c r="D20" s="21">
        <f>ROUND(AVERAGE(H3:H17),2)</f>
        <v>2.39</v>
      </c>
      <c r="E20" s="22">
        <f>IFERROR(ROUND(IF(B20&lt;2,"N/A",(IF(C20&lt;=25%,"N/A",AVERAGE(I3:I17)))),2),"N/A")</f>
        <v>1.95</v>
      </c>
      <c r="F20" s="22">
        <f>ROUND(MEDIAN(H3:H17),2)</f>
        <v>2.2400000000000002</v>
      </c>
      <c r="G20" s="23" t="str">
        <f>INDEX(G3:G17,MATCH(H20,H3:H17,0))</f>
        <v>PAPELEX</v>
      </c>
      <c r="H20" s="24">
        <f>MIN(H3:H17)</f>
        <v>1.39</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1.95</v>
      </c>
    </row>
    <row r="23" spans="1:11">
      <c r="B23" s="32"/>
      <c r="C23" s="32"/>
      <c r="D23" s="67"/>
      <c r="E23" s="67"/>
      <c r="F23" s="36"/>
      <c r="G23" s="27" t="s">
        <v>8</v>
      </c>
      <c r="H23" s="28">
        <f>ROUND(H22,2)*D3</f>
        <v>20475</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67</v>
      </c>
      <c r="B2" s="30" t="s">
        <v>22</v>
      </c>
      <c r="C2" s="30" t="s">
        <v>1</v>
      </c>
      <c r="D2" s="30" t="s">
        <v>2</v>
      </c>
      <c r="E2" s="14" t="s">
        <v>30</v>
      </c>
      <c r="F2" s="14" t="s">
        <v>31</v>
      </c>
      <c r="G2" s="30" t="s">
        <v>3</v>
      </c>
      <c r="H2" s="15" t="s">
        <v>4</v>
      </c>
      <c r="I2" s="16" t="s">
        <v>9</v>
      </c>
    </row>
    <row r="3" spans="1:9" ht="12.75" customHeight="1">
      <c r="A3" s="71"/>
      <c r="B3" s="72" t="s">
        <v>173</v>
      </c>
      <c r="C3" s="75" t="s">
        <v>147</v>
      </c>
      <c r="D3" s="78">
        <v>1000</v>
      </c>
      <c r="E3" s="81">
        <f>IF(C20&lt;=25%,D20,MIN(E20:F20))</f>
        <v>3.37</v>
      </c>
      <c r="F3" s="81">
        <f>MIN(H3:H17)</f>
        <v>2.8</v>
      </c>
      <c r="G3" s="4" t="s">
        <v>210</v>
      </c>
      <c r="H3" s="13">
        <v>3.19</v>
      </c>
      <c r="I3" s="29" t="str">
        <f>IF(H3="","",(IF($C$20&lt;25%,"N/A",IF(H3&lt;=($D$20+$A$20),H3,"Descartado"))))</f>
        <v>N/A</v>
      </c>
    </row>
    <row r="4" spans="1:9">
      <c r="A4" s="71"/>
      <c r="B4" s="73"/>
      <c r="C4" s="76"/>
      <c r="D4" s="79"/>
      <c r="E4" s="82"/>
      <c r="F4" s="82"/>
      <c r="G4" s="4" t="s">
        <v>261</v>
      </c>
      <c r="H4" s="13">
        <v>3.9</v>
      </c>
      <c r="I4" s="29" t="str">
        <f t="shared" ref="I4:I17" si="0">IF(H4="","",(IF($C$20&lt;25%,"N/A",IF(H4&lt;=($D$20+$A$20),H4,"Descartado"))))</f>
        <v>N/A</v>
      </c>
    </row>
    <row r="5" spans="1:9">
      <c r="A5" s="71"/>
      <c r="B5" s="73"/>
      <c r="C5" s="76"/>
      <c r="D5" s="79"/>
      <c r="E5" s="82"/>
      <c r="F5" s="82"/>
      <c r="G5" s="4" t="s">
        <v>278</v>
      </c>
      <c r="H5" s="13">
        <v>3.6</v>
      </c>
      <c r="I5" s="29" t="str">
        <f t="shared" si="0"/>
        <v>N/A</v>
      </c>
    </row>
    <row r="6" spans="1:9">
      <c r="A6" s="71"/>
      <c r="B6" s="73"/>
      <c r="C6" s="76"/>
      <c r="D6" s="79"/>
      <c r="E6" s="82"/>
      <c r="F6" s="82"/>
      <c r="G6" s="4" t="s">
        <v>240</v>
      </c>
      <c r="H6" s="13">
        <v>2.8</v>
      </c>
      <c r="I6" s="29" t="str">
        <f t="shared" si="0"/>
        <v>N/A</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0.47995659525975365</v>
      </c>
      <c r="B20" s="19">
        <f>COUNT(H3:H17)</f>
        <v>4</v>
      </c>
      <c r="C20" s="20">
        <f>IF(B20&lt;2,"N/A",(A20/D20))</f>
        <v>0.14242035467648476</v>
      </c>
      <c r="D20" s="21">
        <f>ROUND(AVERAGE(H3:H17),2)</f>
        <v>3.37</v>
      </c>
      <c r="E20" s="22" t="str">
        <f>IFERROR(ROUND(IF(B20&lt;2,"N/A",(IF(C20&lt;=25%,"N/A",AVERAGE(I3:I17)))),2),"N/A")</f>
        <v>N/A</v>
      </c>
      <c r="F20" s="22">
        <f>ROUND(MEDIAN(H3:H17),2)</f>
        <v>3.4</v>
      </c>
      <c r="G20" s="23" t="str">
        <f>INDEX(G3:G17,MATCH(H20,H3:H17,0))</f>
        <v>BML COMERCIAL LTDA</v>
      </c>
      <c r="H20" s="24">
        <f>MIN(H3:H17)</f>
        <v>2.8</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3.37</v>
      </c>
    </row>
    <row r="23" spans="1:11">
      <c r="B23" s="32"/>
      <c r="C23" s="32"/>
      <c r="D23" s="67"/>
      <c r="E23" s="67"/>
      <c r="F23" s="36"/>
      <c r="G23" s="27" t="s">
        <v>8</v>
      </c>
      <c r="H23" s="28">
        <f>ROUND(H22,2)*D3</f>
        <v>3370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3" sqref="G13"/>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68</v>
      </c>
      <c r="B2" s="30" t="s">
        <v>22</v>
      </c>
      <c r="C2" s="30" t="s">
        <v>1</v>
      </c>
      <c r="D2" s="30" t="s">
        <v>2</v>
      </c>
      <c r="E2" s="14" t="s">
        <v>30</v>
      </c>
      <c r="F2" s="14" t="s">
        <v>31</v>
      </c>
      <c r="G2" s="30" t="s">
        <v>3</v>
      </c>
      <c r="H2" s="15" t="s">
        <v>4</v>
      </c>
      <c r="I2" s="16" t="s">
        <v>9</v>
      </c>
    </row>
    <row r="3" spans="1:9" ht="12.75" customHeight="1">
      <c r="A3" s="71"/>
      <c r="B3" s="72" t="s">
        <v>174</v>
      </c>
      <c r="C3" s="75" t="s">
        <v>147</v>
      </c>
      <c r="D3" s="78">
        <v>3000</v>
      </c>
      <c r="E3" s="81">
        <f>IF(C20&lt;=25%,D20,MIN(E20:F20))</f>
        <v>1.53</v>
      </c>
      <c r="F3" s="81">
        <f>MIN(H3:H17)</f>
        <v>1.1299999999999999</v>
      </c>
      <c r="G3" s="4" t="s">
        <v>279</v>
      </c>
      <c r="H3" s="13">
        <v>1.72</v>
      </c>
      <c r="I3" s="29">
        <f>IF(H3="","",(IF($C$20&lt;25%,"N/A",IF(H3&lt;=($D$20+$A$20),H3,"Descartado"))))</f>
        <v>1.72</v>
      </c>
    </row>
    <row r="4" spans="1:9">
      <c r="A4" s="71"/>
      <c r="B4" s="73"/>
      <c r="C4" s="76"/>
      <c r="D4" s="79"/>
      <c r="E4" s="82"/>
      <c r="F4" s="82"/>
      <c r="G4" s="4" t="s">
        <v>280</v>
      </c>
      <c r="H4" s="13">
        <v>1.9166000000000001</v>
      </c>
      <c r="I4" s="29">
        <f t="shared" ref="I4:I17" si="0">IF(H4="","",(IF($C$20&lt;25%,"N/A",IF(H4&lt;=($D$20+$A$20),H4,"Descartado"))))</f>
        <v>1.9166000000000001</v>
      </c>
    </row>
    <row r="5" spans="1:9">
      <c r="A5" s="71"/>
      <c r="B5" s="73"/>
      <c r="C5" s="76"/>
      <c r="D5" s="79"/>
      <c r="E5" s="82"/>
      <c r="F5" s="82"/>
      <c r="G5" s="4" t="s">
        <v>265</v>
      </c>
      <c r="H5" s="13">
        <v>1.25</v>
      </c>
      <c r="I5" s="29">
        <f t="shared" si="0"/>
        <v>1.25</v>
      </c>
    </row>
    <row r="6" spans="1:9">
      <c r="A6" s="71"/>
      <c r="B6" s="73"/>
      <c r="C6" s="76"/>
      <c r="D6" s="79"/>
      <c r="E6" s="82"/>
      <c r="F6" s="82"/>
      <c r="G6" s="4" t="s">
        <v>221</v>
      </c>
      <c r="H6" s="13">
        <v>1.55</v>
      </c>
      <c r="I6" s="29">
        <f t="shared" si="0"/>
        <v>1.55</v>
      </c>
    </row>
    <row r="7" spans="1:9">
      <c r="A7" s="71"/>
      <c r="B7" s="73"/>
      <c r="C7" s="76"/>
      <c r="D7" s="79"/>
      <c r="E7" s="82"/>
      <c r="F7" s="82"/>
      <c r="G7" s="4" t="s">
        <v>281</v>
      </c>
      <c r="H7" s="13">
        <v>1.5</v>
      </c>
      <c r="I7" s="29">
        <f t="shared" si="0"/>
        <v>1.5</v>
      </c>
    </row>
    <row r="8" spans="1:9">
      <c r="A8" s="71"/>
      <c r="B8" s="73"/>
      <c r="C8" s="76"/>
      <c r="D8" s="79"/>
      <c r="E8" s="82"/>
      <c r="F8" s="82"/>
      <c r="G8" s="4" t="s">
        <v>282</v>
      </c>
      <c r="H8" s="13">
        <v>2.5</v>
      </c>
      <c r="I8" s="29">
        <f t="shared" si="0"/>
        <v>2.5</v>
      </c>
    </row>
    <row r="9" spans="1:9">
      <c r="A9" s="71"/>
      <c r="B9" s="73"/>
      <c r="C9" s="76"/>
      <c r="D9" s="79"/>
      <c r="E9" s="82"/>
      <c r="F9" s="82"/>
      <c r="G9" s="4" t="s">
        <v>283</v>
      </c>
      <c r="H9" s="13">
        <v>1.1299999999999999</v>
      </c>
      <c r="I9" s="29">
        <f t="shared" si="0"/>
        <v>1.1299999999999999</v>
      </c>
    </row>
    <row r="10" spans="1:9">
      <c r="A10" s="71"/>
      <c r="B10" s="73"/>
      <c r="C10" s="76"/>
      <c r="D10" s="79"/>
      <c r="E10" s="82"/>
      <c r="F10" s="82"/>
      <c r="G10" s="4" t="s">
        <v>203</v>
      </c>
      <c r="H10" s="13">
        <v>1.38</v>
      </c>
      <c r="I10" s="29">
        <f t="shared" si="0"/>
        <v>1.38</v>
      </c>
    </row>
    <row r="11" spans="1:9">
      <c r="A11" s="71"/>
      <c r="B11" s="73"/>
      <c r="C11" s="76"/>
      <c r="D11" s="79"/>
      <c r="E11" s="82"/>
      <c r="F11" s="82"/>
      <c r="G11" s="4" t="s">
        <v>208</v>
      </c>
      <c r="H11" s="13">
        <v>1.5</v>
      </c>
      <c r="I11" s="29">
        <f t="shared" si="0"/>
        <v>1.5</v>
      </c>
    </row>
    <row r="12" spans="1:9">
      <c r="A12" s="71"/>
      <c r="B12" s="73"/>
      <c r="C12" s="76"/>
      <c r="D12" s="79"/>
      <c r="E12" s="82"/>
      <c r="F12" s="82"/>
      <c r="G12" s="4" t="s">
        <v>230</v>
      </c>
      <c r="H12" s="13">
        <v>15</v>
      </c>
      <c r="I12" s="29" t="str">
        <f t="shared" si="0"/>
        <v>Descartado</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4.2533363427889039</v>
      </c>
      <c r="B20" s="19">
        <f>COUNT(H3:H17)</f>
        <v>10</v>
      </c>
      <c r="C20" s="20">
        <f>IF(B20&lt;2,"N/A",(A20/D20))</f>
        <v>1.4467130417649334</v>
      </c>
      <c r="D20" s="21">
        <f>ROUND(AVERAGE(H3:H17),2)</f>
        <v>2.94</v>
      </c>
      <c r="E20" s="22">
        <f>IFERROR(ROUND(IF(B20&lt;2,"N/A",(IF(C20&lt;=25%,"N/A",AVERAGE(I3:I17)))),2),"N/A")</f>
        <v>1.61</v>
      </c>
      <c r="F20" s="22">
        <f>ROUND(MEDIAN(H3:H17),2)</f>
        <v>1.53</v>
      </c>
      <c r="G20" s="23" t="str">
        <f>INDEX(G3:G17,MATCH(H20,H3:H17,0))</f>
        <v>A.A. DISTRIBUICAO E IMPORTACAO DE ARTIGOS DE DECORACAO LTDA</v>
      </c>
      <c r="H20" s="24">
        <f>MIN(H3:H17)</f>
        <v>1.1299999999999999</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1.53</v>
      </c>
    </row>
    <row r="23" spans="1:11">
      <c r="B23" s="32"/>
      <c r="C23" s="32"/>
      <c r="D23" s="67"/>
      <c r="E23" s="67"/>
      <c r="F23" s="36"/>
      <c r="G23" s="27" t="s">
        <v>8</v>
      </c>
      <c r="H23" s="28">
        <f>ROUND(H22,2)*D3</f>
        <v>4590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69</v>
      </c>
      <c r="B2" s="30" t="s">
        <v>22</v>
      </c>
      <c r="C2" s="30" t="s">
        <v>1</v>
      </c>
      <c r="D2" s="30" t="s">
        <v>2</v>
      </c>
      <c r="E2" s="14" t="s">
        <v>30</v>
      </c>
      <c r="F2" s="14" t="s">
        <v>31</v>
      </c>
      <c r="G2" s="30" t="s">
        <v>3</v>
      </c>
      <c r="H2" s="15" t="s">
        <v>4</v>
      </c>
      <c r="I2" s="16" t="s">
        <v>9</v>
      </c>
    </row>
    <row r="3" spans="1:9" ht="12.75" customHeight="1">
      <c r="A3" s="71"/>
      <c r="B3" s="72" t="s">
        <v>175</v>
      </c>
      <c r="C3" s="75" t="s">
        <v>136</v>
      </c>
      <c r="D3" s="78">
        <v>5000</v>
      </c>
      <c r="E3" s="81">
        <f>IF(C20&lt;=25%,D20,MIN(E20:F20))</f>
        <v>3.32</v>
      </c>
      <c r="F3" s="81">
        <f>MIN(H3:H17)</f>
        <v>2.6</v>
      </c>
      <c r="G3" s="4" t="s">
        <v>339</v>
      </c>
      <c r="H3" s="13">
        <v>4.45</v>
      </c>
      <c r="I3" s="29">
        <f>IF(H3="","",(IF($C$20&lt;25%,"N/A",IF(H3&lt;=($D$20+$A$20),H3,"Descartado"))))</f>
        <v>4.45</v>
      </c>
    </row>
    <row r="4" spans="1:9">
      <c r="A4" s="71"/>
      <c r="B4" s="73"/>
      <c r="C4" s="76"/>
      <c r="D4" s="79"/>
      <c r="E4" s="82"/>
      <c r="F4" s="82"/>
      <c r="G4" s="4" t="s">
        <v>357</v>
      </c>
      <c r="H4" s="13">
        <v>2.9</v>
      </c>
      <c r="I4" s="29">
        <f t="shared" ref="I4:I17" si="0">IF(H4="","",(IF($C$20&lt;25%,"N/A",IF(H4&lt;=($D$20+$A$20),H4,"Descartado"))))</f>
        <v>2.9</v>
      </c>
    </row>
    <row r="5" spans="1:9">
      <c r="A5" s="71"/>
      <c r="B5" s="73"/>
      <c r="C5" s="76"/>
      <c r="D5" s="79"/>
      <c r="E5" s="82"/>
      <c r="F5" s="82"/>
      <c r="G5" s="4" t="s">
        <v>342</v>
      </c>
      <c r="H5" s="13">
        <v>4.8</v>
      </c>
      <c r="I5" s="29" t="str">
        <f t="shared" si="0"/>
        <v>Descartado</v>
      </c>
    </row>
    <row r="6" spans="1:9">
      <c r="A6" s="71"/>
      <c r="B6" s="73"/>
      <c r="C6" s="76"/>
      <c r="D6" s="79"/>
      <c r="E6" s="82"/>
      <c r="F6" s="82"/>
      <c r="G6" s="4" t="s">
        <v>344</v>
      </c>
      <c r="H6" s="13">
        <v>2.6</v>
      </c>
      <c r="I6" s="29">
        <f t="shared" si="0"/>
        <v>2.6</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1.0987682497536366</v>
      </c>
      <c r="B20" s="19">
        <f>COUNT(H3:H17)</f>
        <v>4</v>
      </c>
      <c r="C20" s="20">
        <f>IF(B20&lt;2,"N/A",(A20/D20))</f>
        <v>0.29776917337496928</v>
      </c>
      <c r="D20" s="21">
        <f>ROUND(AVERAGE(H3:H17),2)</f>
        <v>3.69</v>
      </c>
      <c r="E20" s="22">
        <f>IFERROR(ROUND(IF(B20&lt;2,"N/A",(IF(C20&lt;=25%,"N/A",AVERAGE(I3:I17)))),2),"N/A")</f>
        <v>3.32</v>
      </c>
      <c r="F20" s="22">
        <f>ROUND(MEDIAN(H3:H17),2)</f>
        <v>3.68</v>
      </c>
      <c r="G20" s="23" t="str">
        <f>INDEX(G3:G17,MATCH(H20,H3:H17,0))</f>
        <v>TAVI PAPELARIA</v>
      </c>
      <c r="H20" s="24">
        <f>MIN(H3:H17)</f>
        <v>2.6</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3.32</v>
      </c>
    </row>
    <row r="23" spans="1:11">
      <c r="B23" s="32"/>
      <c r="C23" s="32"/>
      <c r="D23" s="67"/>
      <c r="E23" s="67"/>
      <c r="F23" s="36"/>
      <c r="G23" s="27" t="s">
        <v>8</v>
      </c>
      <c r="H23" s="28">
        <f>ROUND(H22,2)*D3</f>
        <v>16600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70</v>
      </c>
      <c r="B2" s="30" t="s">
        <v>22</v>
      </c>
      <c r="C2" s="30" t="s">
        <v>1</v>
      </c>
      <c r="D2" s="30" t="s">
        <v>2</v>
      </c>
      <c r="E2" s="14" t="s">
        <v>30</v>
      </c>
      <c r="F2" s="14" t="s">
        <v>31</v>
      </c>
      <c r="G2" s="30" t="s">
        <v>3</v>
      </c>
      <c r="H2" s="15" t="s">
        <v>4</v>
      </c>
      <c r="I2" s="16" t="s">
        <v>9</v>
      </c>
    </row>
    <row r="3" spans="1:9" ht="12.75" customHeight="1">
      <c r="A3" s="71"/>
      <c r="B3" s="72" t="s">
        <v>176</v>
      </c>
      <c r="C3" s="75" t="s">
        <v>136</v>
      </c>
      <c r="D3" s="78">
        <v>5000</v>
      </c>
      <c r="E3" s="81">
        <f>IF(C20&lt;=25%,D20,MIN(E20:F20))</f>
        <v>5.82</v>
      </c>
      <c r="F3" s="81">
        <f>MIN(H3:H17)</f>
        <v>3.72</v>
      </c>
      <c r="G3" s="4" t="s">
        <v>284</v>
      </c>
      <c r="H3" s="13">
        <v>3.72</v>
      </c>
      <c r="I3" s="29" t="str">
        <f>IF(H3="","",(IF($C$20&lt;25%,"N/A",IF(H3&lt;=($D$20+$A$20),H3,"Descartado"))))</f>
        <v>N/A</v>
      </c>
    </row>
    <row r="4" spans="1:9">
      <c r="A4" s="71"/>
      <c r="B4" s="73"/>
      <c r="C4" s="76"/>
      <c r="D4" s="79"/>
      <c r="E4" s="82"/>
      <c r="F4" s="82"/>
      <c r="G4" s="4" t="s">
        <v>285</v>
      </c>
      <c r="H4" s="13">
        <v>5.83</v>
      </c>
      <c r="I4" s="29" t="str">
        <f t="shared" ref="I4:I17" si="0">IF(H4="","",(IF($C$20&lt;25%,"N/A",IF(H4&lt;=($D$20+$A$20),H4,"Descartado"))))</f>
        <v>N/A</v>
      </c>
    </row>
    <row r="5" spans="1:9">
      <c r="A5" s="71"/>
      <c r="B5" s="73"/>
      <c r="C5" s="76"/>
      <c r="D5" s="79"/>
      <c r="E5" s="82"/>
      <c r="F5" s="82"/>
      <c r="G5" s="4" t="s">
        <v>358</v>
      </c>
      <c r="H5" s="13">
        <v>6.5</v>
      </c>
      <c r="I5" s="29" t="str">
        <f t="shared" si="0"/>
        <v>N/A</v>
      </c>
    </row>
    <row r="6" spans="1:9">
      <c r="A6" s="71"/>
      <c r="B6" s="73"/>
      <c r="C6" s="76"/>
      <c r="D6" s="79"/>
      <c r="E6" s="82"/>
      <c r="F6" s="82"/>
      <c r="G6" s="4" t="s">
        <v>359</v>
      </c>
      <c r="H6" s="13">
        <v>7.47</v>
      </c>
      <c r="I6" s="29" t="str">
        <f t="shared" si="0"/>
        <v>N/A</v>
      </c>
    </row>
    <row r="7" spans="1:9">
      <c r="A7" s="71"/>
      <c r="B7" s="73"/>
      <c r="C7" s="76"/>
      <c r="D7" s="79"/>
      <c r="E7" s="82"/>
      <c r="F7" s="82"/>
      <c r="G7" s="4" t="s">
        <v>357</v>
      </c>
      <c r="H7" s="13">
        <v>5.49</v>
      </c>
      <c r="I7" s="29" t="str">
        <f t="shared" si="0"/>
        <v>N/A</v>
      </c>
    </row>
    <row r="8" spans="1:9">
      <c r="A8" s="71"/>
      <c r="B8" s="73"/>
      <c r="C8" s="76"/>
      <c r="D8" s="79"/>
      <c r="E8" s="82"/>
      <c r="F8" s="82"/>
      <c r="G8" s="4" t="s">
        <v>342</v>
      </c>
      <c r="H8" s="13">
        <v>5.9</v>
      </c>
      <c r="I8" s="29" t="str">
        <f t="shared" si="0"/>
        <v>N/A</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1.2417957427317396</v>
      </c>
      <c r="B20" s="19">
        <f>COUNT(H3:H17)</f>
        <v>6</v>
      </c>
      <c r="C20" s="20">
        <f>IF(B20&lt;2,"N/A",(A20/D20))</f>
        <v>0.21336696610510988</v>
      </c>
      <c r="D20" s="21">
        <f>ROUND(AVERAGE(H3:H17),2)</f>
        <v>5.82</v>
      </c>
      <c r="E20" s="22" t="str">
        <f>IFERROR(ROUND(IF(B20&lt;2,"N/A",(IF(C20&lt;=25%,"N/A",AVERAGE(I3:I17)))),2),"N/A")</f>
        <v>N/A</v>
      </c>
      <c r="F20" s="22">
        <f>ROUND(MEDIAN(H3:H17),2)</f>
        <v>5.87</v>
      </c>
      <c r="G20" s="23" t="str">
        <f>INDEX(G3:G17,MATCH(H20,H3:H17,0))</f>
        <v>STYLLUS DISTRIBUIDORA COMERCIO E SERVICOS LTDA</v>
      </c>
      <c r="H20" s="24">
        <f>MIN(H3:H17)</f>
        <v>3.72</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5.82</v>
      </c>
    </row>
    <row r="23" spans="1:11">
      <c r="B23" s="32"/>
      <c r="C23" s="32"/>
      <c r="D23" s="67"/>
      <c r="E23" s="67"/>
      <c r="F23" s="36"/>
      <c r="G23" s="27" t="s">
        <v>8</v>
      </c>
      <c r="H23" s="28">
        <f>ROUND(H22,2)*D3</f>
        <v>29100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71</v>
      </c>
      <c r="B2" s="30" t="s">
        <v>22</v>
      </c>
      <c r="C2" s="30" t="s">
        <v>1</v>
      </c>
      <c r="D2" s="30" t="s">
        <v>2</v>
      </c>
      <c r="E2" s="14" t="s">
        <v>30</v>
      </c>
      <c r="F2" s="14" t="s">
        <v>31</v>
      </c>
      <c r="G2" s="30" t="s">
        <v>3</v>
      </c>
      <c r="H2" s="15" t="s">
        <v>4</v>
      </c>
      <c r="I2" s="16" t="s">
        <v>9</v>
      </c>
    </row>
    <row r="3" spans="1:9" ht="12.75" customHeight="1">
      <c r="A3" s="71"/>
      <c r="B3" s="72" t="s">
        <v>177</v>
      </c>
      <c r="C3" s="75" t="s">
        <v>178</v>
      </c>
      <c r="D3" s="78">
        <v>3421</v>
      </c>
      <c r="E3" s="81">
        <f>IF(C20&lt;=25%,D20,MIN(E20:F20))</f>
        <v>23.38</v>
      </c>
      <c r="F3" s="81">
        <f>MIN(H3:H17)</f>
        <v>20.5</v>
      </c>
      <c r="G3" s="4" t="s">
        <v>286</v>
      </c>
      <c r="H3" s="13">
        <v>23.97</v>
      </c>
      <c r="I3" s="29" t="str">
        <f>IF(H3="","",(IF($C$20&lt;25%,"N/A",IF(H3&lt;=($D$20+$A$20),H3,"Descartado"))))</f>
        <v>N/A</v>
      </c>
    </row>
    <row r="4" spans="1:9">
      <c r="A4" s="71"/>
      <c r="B4" s="73"/>
      <c r="C4" s="76"/>
      <c r="D4" s="79"/>
      <c r="E4" s="82"/>
      <c r="F4" s="82"/>
      <c r="G4" s="4" t="s">
        <v>287</v>
      </c>
      <c r="H4" s="13">
        <v>25.89</v>
      </c>
      <c r="I4" s="29" t="str">
        <f t="shared" ref="I4:I17" si="0">IF(H4="","",(IF($C$20&lt;25%,"N/A",IF(H4&lt;=($D$20+$A$20),H4,"Descartado"))))</f>
        <v>N/A</v>
      </c>
    </row>
    <row r="5" spans="1:9">
      <c r="A5" s="71"/>
      <c r="B5" s="73"/>
      <c r="C5" s="76"/>
      <c r="D5" s="79"/>
      <c r="E5" s="82"/>
      <c r="F5" s="82"/>
      <c r="G5" s="4" t="s">
        <v>288</v>
      </c>
      <c r="H5" s="13">
        <v>21.9</v>
      </c>
      <c r="I5" s="29" t="str">
        <f t="shared" si="0"/>
        <v>N/A</v>
      </c>
    </row>
    <row r="6" spans="1:9">
      <c r="A6" s="71"/>
      <c r="B6" s="73"/>
      <c r="C6" s="76"/>
      <c r="D6" s="79"/>
      <c r="E6" s="82"/>
      <c r="F6" s="82"/>
      <c r="G6" s="4" t="s">
        <v>289</v>
      </c>
      <c r="H6" s="13">
        <v>21.4</v>
      </c>
      <c r="I6" s="29" t="str">
        <f t="shared" si="0"/>
        <v>N/A</v>
      </c>
    </row>
    <row r="7" spans="1:9">
      <c r="A7" s="71"/>
      <c r="B7" s="73"/>
      <c r="C7" s="76"/>
      <c r="D7" s="79"/>
      <c r="E7" s="82"/>
      <c r="F7" s="82"/>
      <c r="G7" s="4" t="s">
        <v>290</v>
      </c>
      <c r="H7" s="13">
        <v>21.81</v>
      </c>
      <c r="I7" s="29" t="str">
        <f t="shared" si="0"/>
        <v>N/A</v>
      </c>
    </row>
    <row r="8" spans="1:9">
      <c r="A8" s="71"/>
      <c r="B8" s="73"/>
      <c r="C8" s="76"/>
      <c r="D8" s="79"/>
      <c r="E8" s="82"/>
      <c r="F8" s="82"/>
      <c r="G8" s="4" t="s">
        <v>291</v>
      </c>
      <c r="H8" s="13">
        <v>20.55</v>
      </c>
      <c r="I8" s="29" t="str">
        <f t="shared" si="0"/>
        <v>N/A</v>
      </c>
    </row>
    <row r="9" spans="1:9">
      <c r="A9" s="71"/>
      <c r="B9" s="73"/>
      <c r="C9" s="76"/>
      <c r="D9" s="79"/>
      <c r="E9" s="82"/>
      <c r="F9" s="82"/>
      <c r="G9" s="4" t="s">
        <v>292</v>
      </c>
      <c r="H9" s="13">
        <v>21.9</v>
      </c>
      <c r="I9" s="29" t="str">
        <f t="shared" si="0"/>
        <v>N/A</v>
      </c>
    </row>
    <row r="10" spans="1:9">
      <c r="A10" s="71"/>
      <c r="B10" s="73"/>
      <c r="C10" s="76"/>
      <c r="D10" s="79"/>
      <c r="E10" s="82"/>
      <c r="F10" s="82"/>
      <c r="G10" s="4" t="s">
        <v>293</v>
      </c>
      <c r="H10" s="13">
        <v>20.5</v>
      </c>
      <c r="I10" s="29" t="str">
        <f t="shared" si="0"/>
        <v>N/A</v>
      </c>
    </row>
    <row r="11" spans="1:9">
      <c r="A11" s="71"/>
      <c r="B11" s="73"/>
      <c r="C11" s="76"/>
      <c r="D11" s="79"/>
      <c r="E11" s="82"/>
      <c r="F11" s="82"/>
      <c r="G11" s="4" t="s">
        <v>224</v>
      </c>
      <c r="H11" s="13">
        <v>32.5</v>
      </c>
      <c r="I11" s="29" t="str">
        <f t="shared" si="0"/>
        <v>N/A</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3.8224991824720989</v>
      </c>
      <c r="B20" s="19">
        <f>COUNT(H3:H17)</f>
        <v>9</v>
      </c>
      <c r="C20" s="20">
        <f>IF(B20&lt;2,"N/A",(A20/D20))</f>
        <v>0.1634944047250684</v>
      </c>
      <c r="D20" s="21">
        <f>ROUND(AVERAGE(H3:H17),2)</f>
        <v>23.38</v>
      </c>
      <c r="E20" s="22" t="str">
        <f>IFERROR(ROUND(IF(B20&lt;2,"N/A",(IF(C20&lt;=25%,"N/A",AVERAGE(I3:I17)))),2),"N/A")</f>
        <v>N/A</v>
      </c>
      <c r="F20" s="22">
        <f>ROUND(MEDIAN(H3:H17),2)</f>
        <v>21.9</v>
      </c>
      <c r="G20" s="23" t="str">
        <f>INDEX(G3:G17,MATCH(H20,H3:H17,0))</f>
        <v>FOX ELETRONICA LTDA</v>
      </c>
      <c r="H20" s="24">
        <f>MIN(H3:H17)</f>
        <v>20.5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23.38</v>
      </c>
    </row>
    <row r="23" spans="1:11">
      <c r="B23" s="32"/>
      <c r="C23" s="32"/>
      <c r="D23" s="67"/>
      <c r="E23" s="67"/>
      <c r="F23" s="36"/>
      <c r="G23" s="27" t="s">
        <v>8</v>
      </c>
      <c r="H23" s="28">
        <f>ROUND(H22,2)*D3</f>
        <v>79982.98</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72</v>
      </c>
      <c r="B2" s="30" t="s">
        <v>22</v>
      </c>
      <c r="C2" s="30" t="s">
        <v>1</v>
      </c>
      <c r="D2" s="30" t="s">
        <v>2</v>
      </c>
      <c r="E2" s="14" t="s">
        <v>30</v>
      </c>
      <c r="F2" s="14" t="s">
        <v>31</v>
      </c>
      <c r="G2" s="30" t="s">
        <v>3</v>
      </c>
      <c r="H2" s="15" t="s">
        <v>4</v>
      </c>
      <c r="I2" s="16" t="s">
        <v>9</v>
      </c>
    </row>
    <row r="3" spans="1:9" ht="12.75" customHeight="1">
      <c r="A3" s="71"/>
      <c r="B3" s="72" t="s">
        <v>179</v>
      </c>
      <c r="C3" s="75" t="s">
        <v>178</v>
      </c>
      <c r="D3" s="78">
        <v>100</v>
      </c>
      <c r="E3" s="81">
        <f>IF(C20&lt;=25%,D20,MIN(E20:F20))</f>
        <v>25.16</v>
      </c>
      <c r="F3" s="81">
        <f>MIN(H3:H17)</f>
        <v>21.41</v>
      </c>
      <c r="G3" s="4" t="s">
        <v>289</v>
      </c>
      <c r="H3" s="13">
        <v>21.41</v>
      </c>
      <c r="I3" s="29" t="str">
        <f>IF(H3="","",(IF($C$20&lt;25%,"N/A",IF(H3&lt;=($D$20+$A$20),H3,"Descartado"))))</f>
        <v>N/A</v>
      </c>
    </row>
    <row r="4" spans="1:9">
      <c r="A4" s="71"/>
      <c r="B4" s="73"/>
      <c r="C4" s="76"/>
      <c r="D4" s="79"/>
      <c r="E4" s="82"/>
      <c r="F4" s="82"/>
      <c r="G4" s="4" t="s">
        <v>294</v>
      </c>
      <c r="H4" s="13">
        <v>26.8</v>
      </c>
      <c r="I4" s="29" t="str">
        <f t="shared" ref="I4:I17" si="0">IF(H4="","",(IF($C$20&lt;25%,"N/A",IF(H4&lt;=($D$20+$A$20),H4,"Descartado"))))</f>
        <v>N/A</v>
      </c>
    </row>
    <row r="5" spans="1:9">
      <c r="A5" s="71"/>
      <c r="B5" s="73"/>
      <c r="C5" s="76"/>
      <c r="D5" s="79"/>
      <c r="E5" s="82"/>
      <c r="F5" s="82"/>
      <c r="G5" s="4" t="s">
        <v>295</v>
      </c>
      <c r="H5" s="13">
        <v>22.83</v>
      </c>
      <c r="I5" s="29" t="str">
        <f t="shared" si="0"/>
        <v>N/A</v>
      </c>
    </row>
    <row r="6" spans="1:9">
      <c r="A6" s="71"/>
      <c r="B6" s="73"/>
      <c r="C6" s="76"/>
      <c r="D6" s="79"/>
      <c r="E6" s="82"/>
      <c r="F6" s="82"/>
      <c r="G6" s="4" t="s">
        <v>296</v>
      </c>
      <c r="H6" s="13">
        <v>29.77</v>
      </c>
      <c r="I6" s="29" t="str">
        <f t="shared" si="0"/>
        <v>N/A</v>
      </c>
    </row>
    <row r="7" spans="1:9">
      <c r="A7" s="71"/>
      <c r="B7" s="73"/>
      <c r="C7" s="76"/>
      <c r="D7" s="79"/>
      <c r="E7" s="82"/>
      <c r="F7" s="82"/>
      <c r="G7" s="4" t="s">
        <v>232</v>
      </c>
      <c r="H7" s="13">
        <v>24.99</v>
      </c>
      <c r="I7" s="29" t="str">
        <f t="shared" si="0"/>
        <v>N/A</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3.2962857885808727</v>
      </c>
      <c r="B20" s="19">
        <f>COUNT(H3:H17)</f>
        <v>5</v>
      </c>
      <c r="C20" s="20">
        <f>IF(B20&lt;2,"N/A",(A20/D20))</f>
        <v>0.1310129486717358</v>
      </c>
      <c r="D20" s="21">
        <f>ROUND(AVERAGE(H3:H17),2)</f>
        <v>25.16</v>
      </c>
      <c r="E20" s="22" t="str">
        <f>IFERROR(ROUND(IF(B20&lt;2,"N/A",(IF(C20&lt;=25%,"N/A",AVERAGE(I3:I17)))),2),"N/A")</f>
        <v>N/A</v>
      </c>
      <c r="F20" s="22">
        <f>ROUND(MEDIAN(H3:H17),2)</f>
        <v>24.99</v>
      </c>
      <c r="G20" s="23" t="str">
        <f>INDEX(G3:G17,MATCH(H20,H3:H17,0))</f>
        <v>MORESCO &amp; ANTUNES LTDA</v>
      </c>
      <c r="H20" s="24">
        <f>MIN(H3:H17)</f>
        <v>21.41</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25.16</v>
      </c>
    </row>
    <row r="23" spans="1:11">
      <c r="B23" s="32"/>
      <c r="C23" s="32"/>
      <c r="D23" s="67"/>
      <c r="E23" s="67"/>
      <c r="F23" s="36"/>
      <c r="G23" s="27" t="s">
        <v>8</v>
      </c>
      <c r="H23" s="28">
        <f>ROUND(H22,2)*D3</f>
        <v>2516</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73</v>
      </c>
      <c r="B2" s="30" t="s">
        <v>22</v>
      </c>
      <c r="C2" s="30" t="s">
        <v>1</v>
      </c>
      <c r="D2" s="30" t="s">
        <v>2</v>
      </c>
      <c r="E2" s="14" t="s">
        <v>30</v>
      </c>
      <c r="F2" s="14" t="s">
        <v>31</v>
      </c>
      <c r="G2" s="30" t="s">
        <v>3</v>
      </c>
      <c r="H2" s="15" t="s">
        <v>4</v>
      </c>
      <c r="I2" s="16" t="s">
        <v>9</v>
      </c>
    </row>
    <row r="3" spans="1:9" ht="12.75" customHeight="1">
      <c r="A3" s="71"/>
      <c r="B3" s="72" t="s">
        <v>180</v>
      </c>
      <c r="C3" s="75" t="s">
        <v>170</v>
      </c>
      <c r="D3" s="78">
        <v>5000</v>
      </c>
      <c r="E3" s="81">
        <f>IF(C20&lt;=25%,D20,MIN(E20:F20))</f>
        <v>13.2</v>
      </c>
      <c r="F3" s="81">
        <f>MIN(H3:H17)</f>
        <v>12.27</v>
      </c>
      <c r="G3" s="4" t="s">
        <v>297</v>
      </c>
      <c r="H3" s="13">
        <v>12.4</v>
      </c>
      <c r="I3" s="29">
        <f>IF(H3="","",(IF($C$20&lt;25%,"N/A",IF(H3&lt;=($D$20+$A$20),H3,"Descartado"))))</f>
        <v>12.4</v>
      </c>
    </row>
    <row r="4" spans="1:9">
      <c r="A4" s="71"/>
      <c r="B4" s="73"/>
      <c r="C4" s="76"/>
      <c r="D4" s="79"/>
      <c r="E4" s="82"/>
      <c r="F4" s="82"/>
      <c r="G4" s="4" t="s">
        <v>217</v>
      </c>
      <c r="H4" s="13">
        <v>13.99</v>
      </c>
      <c r="I4" s="29">
        <f t="shared" ref="I4:I17" si="0">IF(H4="","",(IF($C$20&lt;25%,"N/A",IF(H4&lt;=($D$20+$A$20),H4,"Descartado"))))</f>
        <v>13.99</v>
      </c>
    </row>
    <row r="5" spans="1:9">
      <c r="A5" s="71"/>
      <c r="B5" s="73"/>
      <c r="C5" s="76"/>
      <c r="D5" s="79"/>
      <c r="E5" s="82"/>
      <c r="F5" s="82"/>
      <c r="G5" s="4" t="s">
        <v>269</v>
      </c>
      <c r="H5" s="13">
        <v>12.3</v>
      </c>
      <c r="I5" s="29">
        <f t="shared" si="0"/>
        <v>12.3</v>
      </c>
    </row>
    <row r="6" spans="1:9">
      <c r="A6" s="71"/>
      <c r="B6" s="73"/>
      <c r="C6" s="76"/>
      <c r="D6" s="79"/>
      <c r="E6" s="82"/>
      <c r="F6" s="82"/>
      <c r="G6" s="4" t="s">
        <v>298</v>
      </c>
      <c r="H6" s="13">
        <v>24.6906</v>
      </c>
      <c r="I6" s="29" t="str">
        <f t="shared" si="0"/>
        <v>Descartado</v>
      </c>
    </row>
    <row r="7" spans="1:9">
      <c r="A7" s="71"/>
      <c r="B7" s="73"/>
      <c r="C7" s="76"/>
      <c r="D7" s="79"/>
      <c r="E7" s="82"/>
      <c r="F7" s="82"/>
      <c r="G7" s="4" t="s">
        <v>299</v>
      </c>
      <c r="H7" s="13">
        <v>20.99</v>
      </c>
      <c r="I7" s="29">
        <f t="shared" si="0"/>
        <v>20.99</v>
      </c>
    </row>
    <row r="8" spans="1:9">
      <c r="A8" s="71"/>
      <c r="B8" s="73"/>
      <c r="C8" s="76"/>
      <c r="D8" s="79"/>
      <c r="E8" s="82"/>
      <c r="F8" s="82"/>
      <c r="G8" s="4" t="s">
        <v>300</v>
      </c>
      <c r="H8" s="13">
        <v>12.27</v>
      </c>
      <c r="I8" s="29">
        <f t="shared" si="0"/>
        <v>12.27</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5.3844448856559657</v>
      </c>
      <c r="B20" s="19">
        <f>COUNT(H3:H17)</f>
        <v>6</v>
      </c>
      <c r="C20" s="20">
        <f>IF(B20&lt;2,"N/A",(A20/D20))</f>
        <v>0.33422997428032064</v>
      </c>
      <c r="D20" s="21">
        <f>ROUND(AVERAGE(H3:H17),2)</f>
        <v>16.11</v>
      </c>
      <c r="E20" s="22">
        <f>IFERROR(ROUND(IF(B20&lt;2,"N/A",(IF(C20&lt;=25%,"N/A",AVERAGE(I3:I17)))),2),"N/A")</f>
        <v>14.39</v>
      </c>
      <c r="F20" s="22">
        <f>ROUND(MEDIAN(H3:H17),2)</f>
        <v>13.2</v>
      </c>
      <c r="G20" s="23" t="str">
        <f>INDEX(G3:G17,MATCH(H20,H3:H17,0))</f>
        <v>50.500.191 PEDRO RUAN HOLANDA NOBRE</v>
      </c>
      <c r="H20" s="24">
        <f>MIN(H3:H17)</f>
        <v>12.27</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13.2</v>
      </c>
    </row>
    <row r="23" spans="1:11">
      <c r="B23" s="32"/>
      <c r="C23" s="32"/>
      <c r="D23" s="67"/>
      <c r="E23" s="67"/>
      <c r="F23" s="36"/>
      <c r="G23" s="27" t="s">
        <v>8</v>
      </c>
      <c r="H23" s="28">
        <f>ROUND(H22,2)*D3</f>
        <v>66000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6" sqref="G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38</v>
      </c>
      <c r="B2" s="30" t="s">
        <v>22</v>
      </c>
      <c r="C2" s="30" t="s">
        <v>1</v>
      </c>
      <c r="D2" s="30" t="s">
        <v>2</v>
      </c>
      <c r="E2" s="14" t="s">
        <v>30</v>
      </c>
      <c r="F2" s="14" t="s">
        <v>31</v>
      </c>
      <c r="G2" s="30" t="s">
        <v>3</v>
      </c>
      <c r="H2" s="15" t="s">
        <v>4</v>
      </c>
      <c r="I2" s="16" t="s">
        <v>9</v>
      </c>
    </row>
    <row r="3" spans="1:9" ht="12.75" customHeight="1">
      <c r="A3" s="71"/>
      <c r="B3" s="72" t="s">
        <v>140</v>
      </c>
      <c r="C3" s="75" t="s">
        <v>141</v>
      </c>
      <c r="D3" s="78">
        <v>4000</v>
      </c>
      <c r="E3" s="81">
        <f>IF(C20&lt;=25%,D20,MIN(E20:F20))</f>
        <v>15.46</v>
      </c>
      <c r="F3" s="81">
        <f>MIN(H3:H17)</f>
        <v>12.29</v>
      </c>
      <c r="G3" s="4" t="s">
        <v>349</v>
      </c>
      <c r="H3" s="13">
        <v>15.39</v>
      </c>
      <c r="I3" s="29" t="str">
        <f>IF(H3="","",(IF($C$20&lt;25%,"N/A",IF(H3&lt;=($D$20+$A$20),H3,"Descartado"))))</f>
        <v>N/A</v>
      </c>
    </row>
    <row r="4" spans="1:9">
      <c r="A4" s="71"/>
      <c r="B4" s="73"/>
      <c r="C4" s="76"/>
      <c r="D4" s="79"/>
      <c r="E4" s="82"/>
      <c r="F4" s="82"/>
      <c r="G4" s="4" t="s">
        <v>370</v>
      </c>
      <c r="H4" s="13">
        <v>18.690000000000001</v>
      </c>
      <c r="I4" s="29" t="str">
        <f t="shared" ref="I4:I17" si="0">IF(H4="","",(IF($C$20&lt;25%,"N/A",IF(H4&lt;=($D$20+$A$20),H4,"Descartado"))))</f>
        <v>N/A</v>
      </c>
    </row>
    <row r="5" spans="1:9">
      <c r="A5" s="71"/>
      <c r="B5" s="73"/>
      <c r="C5" s="76"/>
      <c r="D5" s="79"/>
      <c r="E5" s="82"/>
      <c r="F5" s="82"/>
      <c r="G5" s="4" t="s">
        <v>350</v>
      </c>
      <c r="H5" s="13">
        <v>12.29</v>
      </c>
      <c r="I5" s="29" t="str">
        <f t="shared" si="0"/>
        <v>N/A</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3.2005207909547062</v>
      </c>
      <c r="B20" s="19">
        <f>COUNT(H3:H17)</f>
        <v>3</v>
      </c>
      <c r="C20" s="20">
        <f>IF(B20&lt;2,"N/A",(A20/D20))</f>
        <v>0.20701945607727723</v>
      </c>
      <c r="D20" s="21">
        <f>ROUND(AVERAGE(H3:H17),2)</f>
        <v>15.46</v>
      </c>
      <c r="E20" s="22" t="str">
        <f>IFERROR(ROUND(IF(B20&lt;2,"N/A",(IF(C20&lt;=25%,"N/A",AVERAGE(I3:I17)))),2),"N/A")</f>
        <v>N/A</v>
      </c>
      <c r="F20" s="22">
        <f>ROUND(MEDIAN(H3:H17),2)</f>
        <v>15.39</v>
      </c>
      <c r="G20" s="23" t="str">
        <f>INDEX(G3:G17,MATCH(H20,H3:H17,0))</f>
        <v>PAPELARIA BLAU</v>
      </c>
      <c r="H20" s="24">
        <f>MIN(H3:H17)</f>
        <v>12.29</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15.46</v>
      </c>
    </row>
    <row r="23" spans="1:11">
      <c r="B23" s="32"/>
      <c r="C23" s="32"/>
      <c r="D23" s="67"/>
      <c r="E23" s="67"/>
      <c r="F23" s="36"/>
      <c r="G23" s="27" t="s">
        <v>8</v>
      </c>
      <c r="H23" s="28">
        <f>ROUND(H22,2)*D3</f>
        <v>61840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74</v>
      </c>
      <c r="B2" s="30" t="s">
        <v>22</v>
      </c>
      <c r="C2" s="30" t="s">
        <v>1</v>
      </c>
      <c r="D2" s="30" t="s">
        <v>2</v>
      </c>
      <c r="E2" s="14" t="s">
        <v>30</v>
      </c>
      <c r="F2" s="14" t="s">
        <v>31</v>
      </c>
      <c r="G2" s="30" t="s">
        <v>3</v>
      </c>
      <c r="H2" s="15" t="s">
        <v>4</v>
      </c>
      <c r="I2" s="16" t="s">
        <v>9</v>
      </c>
    </row>
    <row r="3" spans="1:9" ht="12.75" customHeight="1">
      <c r="A3" s="71"/>
      <c r="B3" s="72" t="s">
        <v>181</v>
      </c>
      <c r="C3" s="75" t="s">
        <v>178</v>
      </c>
      <c r="D3" s="78">
        <v>200</v>
      </c>
      <c r="E3" s="81">
        <f>IF(C20&lt;=25%,D20,MIN(E20:F20))</f>
        <v>40.770000000000003</v>
      </c>
      <c r="F3" s="81">
        <f>MIN(H3:H17)</f>
        <v>29.56</v>
      </c>
      <c r="G3" s="4" t="s">
        <v>301</v>
      </c>
      <c r="H3" s="13">
        <v>36.67</v>
      </c>
      <c r="I3" s="29">
        <f>IF(H3="","",(IF($C$20&lt;25%,"N/A",IF(H3&lt;=($D$20+$A$20),H3,"Descartado"))))</f>
        <v>36.67</v>
      </c>
    </row>
    <row r="4" spans="1:9">
      <c r="A4" s="71"/>
      <c r="B4" s="73"/>
      <c r="C4" s="76"/>
      <c r="D4" s="79"/>
      <c r="E4" s="82"/>
      <c r="F4" s="82"/>
      <c r="G4" s="4" t="s">
        <v>302</v>
      </c>
      <c r="H4" s="13">
        <v>65.207999999999998</v>
      </c>
      <c r="I4" s="29" t="str">
        <f t="shared" ref="I4:I17" si="0">IF(H4="","",(IF($C$20&lt;25%,"N/A",IF(H4&lt;=($D$20+$A$20),H4,"Descartado"))))</f>
        <v>Descartado</v>
      </c>
    </row>
    <row r="5" spans="1:9">
      <c r="A5" s="71"/>
      <c r="B5" s="73"/>
      <c r="C5" s="76"/>
      <c r="D5" s="79"/>
      <c r="E5" s="82"/>
      <c r="F5" s="82"/>
      <c r="G5" s="4" t="s">
        <v>303</v>
      </c>
      <c r="H5" s="13">
        <v>49.7</v>
      </c>
      <c r="I5" s="29">
        <f t="shared" si="0"/>
        <v>49.7</v>
      </c>
    </row>
    <row r="6" spans="1:9">
      <c r="A6" s="71"/>
      <c r="B6" s="73"/>
      <c r="C6" s="76"/>
      <c r="D6" s="79"/>
      <c r="E6" s="82"/>
      <c r="F6" s="82"/>
      <c r="G6" s="4" t="s">
        <v>304</v>
      </c>
      <c r="H6" s="13">
        <v>29.56</v>
      </c>
      <c r="I6" s="29">
        <f t="shared" si="0"/>
        <v>29.56</v>
      </c>
    </row>
    <row r="7" spans="1:9">
      <c r="A7" s="71"/>
      <c r="B7" s="73"/>
      <c r="C7" s="76"/>
      <c r="D7" s="79"/>
      <c r="E7" s="82"/>
      <c r="F7" s="82"/>
      <c r="G7" s="4" t="s">
        <v>305</v>
      </c>
      <c r="H7" s="13">
        <v>45.7</v>
      </c>
      <c r="I7" s="29">
        <f t="shared" si="0"/>
        <v>45.7</v>
      </c>
    </row>
    <row r="8" spans="1:9">
      <c r="A8" s="71"/>
      <c r="B8" s="73"/>
      <c r="C8" s="76"/>
      <c r="D8" s="79"/>
      <c r="E8" s="82"/>
      <c r="F8" s="82"/>
      <c r="G8" s="4" t="s">
        <v>306</v>
      </c>
      <c r="H8" s="13">
        <v>42.23</v>
      </c>
      <c r="I8" s="29">
        <f t="shared" si="0"/>
        <v>42.23</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12.216823591534167</v>
      </c>
      <c r="B20" s="19">
        <f>COUNT(H3:H17)</f>
        <v>6</v>
      </c>
      <c r="C20" s="20">
        <f>IF(B20&lt;2,"N/A",(A20/D20))</f>
        <v>0.27245369294233196</v>
      </c>
      <c r="D20" s="21">
        <f>ROUND(AVERAGE(H3:H17),2)</f>
        <v>44.84</v>
      </c>
      <c r="E20" s="22">
        <f>IFERROR(ROUND(IF(B20&lt;2,"N/A",(IF(C20&lt;=25%,"N/A",AVERAGE(I3:I17)))),2),"N/A")</f>
        <v>40.770000000000003</v>
      </c>
      <c r="F20" s="22">
        <f>ROUND(MEDIAN(H3:H17),2)</f>
        <v>43.97</v>
      </c>
      <c r="G20" s="23" t="str">
        <f>INDEX(G3:G17,MATCH(H20,H3:H17,0))</f>
        <v>WR COMERCIO DE PAPEIS LTDA</v>
      </c>
      <c r="H20" s="24">
        <f>MIN(H3:H17)</f>
        <v>29.56</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40.770000000000003</v>
      </c>
    </row>
    <row r="23" spans="1:11">
      <c r="B23" s="32"/>
      <c r="C23" s="32"/>
      <c r="D23" s="67"/>
      <c r="E23" s="67"/>
      <c r="F23" s="36"/>
      <c r="G23" s="27" t="s">
        <v>8</v>
      </c>
      <c r="H23" s="28">
        <f>ROUND(H22,2)*D3</f>
        <v>8154.0000000000009</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75</v>
      </c>
      <c r="B2" s="30" t="s">
        <v>22</v>
      </c>
      <c r="C2" s="30" t="s">
        <v>1</v>
      </c>
      <c r="D2" s="30" t="s">
        <v>2</v>
      </c>
      <c r="E2" s="14" t="s">
        <v>30</v>
      </c>
      <c r="F2" s="14" t="s">
        <v>31</v>
      </c>
      <c r="G2" s="30" t="s">
        <v>3</v>
      </c>
      <c r="H2" s="15" t="s">
        <v>4</v>
      </c>
      <c r="I2" s="16" t="s">
        <v>9</v>
      </c>
    </row>
    <row r="3" spans="1:9" ht="12.75" customHeight="1">
      <c r="A3" s="71"/>
      <c r="B3" s="72" t="s">
        <v>182</v>
      </c>
      <c r="C3" s="75" t="s">
        <v>139</v>
      </c>
      <c r="D3" s="78">
        <v>2000</v>
      </c>
      <c r="E3" s="81">
        <f>IF(C20&lt;=25%,D20,MIN(E20:F20))</f>
        <v>2.12</v>
      </c>
      <c r="F3" s="81">
        <f>MIN(H3:H17)</f>
        <v>0.53</v>
      </c>
      <c r="G3" s="4" t="s">
        <v>307</v>
      </c>
      <c r="H3" s="13">
        <v>0.53</v>
      </c>
      <c r="I3" s="29">
        <f>IF(H3="","",(IF($C$20&lt;25%,"N/A",IF(H3&lt;=($D$20+$A$20),H3,"Descartado"))))</f>
        <v>0.53</v>
      </c>
    </row>
    <row r="4" spans="1:9">
      <c r="A4" s="71"/>
      <c r="B4" s="73"/>
      <c r="C4" s="76"/>
      <c r="D4" s="79"/>
      <c r="E4" s="82"/>
      <c r="F4" s="82"/>
      <c r="G4" s="4" t="s">
        <v>308</v>
      </c>
      <c r="H4" s="13">
        <v>10</v>
      </c>
      <c r="I4" s="29" t="str">
        <f t="shared" ref="I4:I17" si="0">IF(H4="","",(IF($C$20&lt;25%,"N/A",IF(H4&lt;=($D$20+$A$20),H4,"Descartado"))))</f>
        <v>Descartado</v>
      </c>
    </row>
    <row r="5" spans="1:9">
      <c r="A5" s="71"/>
      <c r="B5" s="73"/>
      <c r="C5" s="76"/>
      <c r="D5" s="79"/>
      <c r="E5" s="82"/>
      <c r="F5" s="82"/>
      <c r="G5" s="4" t="s">
        <v>309</v>
      </c>
      <c r="H5" s="13">
        <v>1.97</v>
      </c>
      <c r="I5" s="29">
        <f t="shared" si="0"/>
        <v>1.97</v>
      </c>
    </row>
    <row r="6" spans="1:9">
      <c r="A6" s="71"/>
      <c r="B6" s="73"/>
      <c r="C6" s="76"/>
      <c r="D6" s="79"/>
      <c r="E6" s="82"/>
      <c r="F6" s="82"/>
      <c r="G6" s="4" t="s">
        <v>310</v>
      </c>
      <c r="H6" s="13">
        <v>3.87</v>
      </c>
      <c r="I6" s="29">
        <f t="shared" si="0"/>
        <v>3.87</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4.1691116160000634</v>
      </c>
      <c r="B20" s="19">
        <f>COUNT(H3:H17)</f>
        <v>4</v>
      </c>
      <c r="C20" s="20">
        <f>IF(B20&lt;2,"N/A",(A20/D20))</f>
        <v>1.0193426933985485</v>
      </c>
      <c r="D20" s="21">
        <f>ROUND(AVERAGE(H3:H17),2)</f>
        <v>4.09</v>
      </c>
      <c r="E20" s="22">
        <f>IFERROR(ROUND(IF(B20&lt;2,"N/A",(IF(C20&lt;=25%,"N/A",AVERAGE(I3:I17)))),2),"N/A")</f>
        <v>2.12</v>
      </c>
      <c r="F20" s="22">
        <f>ROUND(MEDIAN(H3:H17),2)</f>
        <v>2.92</v>
      </c>
      <c r="G20" s="23" t="str">
        <f>INDEX(G3:G17,MATCH(H20,H3:H17,0))</f>
        <v>GRAFICA ALTA DEFINICAO LTDA</v>
      </c>
      <c r="H20" s="24">
        <f>MIN(H3:H17)</f>
        <v>0.53</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2.12</v>
      </c>
    </row>
    <row r="23" spans="1:11">
      <c r="B23" s="32"/>
      <c r="C23" s="32"/>
      <c r="D23" s="67"/>
      <c r="E23" s="67"/>
      <c r="F23" s="36"/>
      <c r="G23" s="27" t="s">
        <v>8</v>
      </c>
      <c r="H23" s="28">
        <f>ROUND(H22,2)*D3</f>
        <v>4240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3" sqref="H3"/>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76</v>
      </c>
      <c r="B2" s="30" t="s">
        <v>22</v>
      </c>
      <c r="C2" s="30" t="s">
        <v>1</v>
      </c>
      <c r="D2" s="30" t="s">
        <v>2</v>
      </c>
      <c r="E2" s="14" t="s">
        <v>30</v>
      </c>
      <c r="F2" s="14" t="s">
        <v>31</v>
      </c>
      <c r="G2" s="30" t="s">
        <v>3</v>
      </c>
      <c r="H2" s="15" t="s">
        <v>4</v>
      </c>
      <c r="I2" s="16" t="s">
        <v>9</v>
      </c>
    </row>
    <row r="3" spans="1:9" ht="12.75" customHeight="1">
      <c r="A3" s="71"/>
      <c r="B3" s="72" t="s">
        <v>183</v>
      </c>
      <c r="C3" s="75" t="s">
        <v>147</v>
      </c>
      <c r="D3" s="78">
        <v>3000</v>
      </c>
      <c r="E3" s="81">
        <f>IF(C20&lt;=25%,D20,MIN(E20:F20))</f>
        <v>3.29</v>
      </c>
      <c r="F3" s="81">
        <f>MIN(H3:H17)</f>
        <v>2.65</v>
      </c>
      <c r="G3" s="4" t="s">
        <v>339</v>
      </c>
      <c r="H3" s="13">
        <v>3.6</v>
      </c>
      <c r="I3" s="29" t="str">
        <f>IF(H3="","",(IF($C$20&lt;25%,"N/A",IF(H3&lt;=($D$20+$A$20),H3,"Descartado"))))</f>
        <v>N/A</v>
      </c>
    </row>
    <row r="4" spans="1:9">
      <c r="A4" s="71"/>
      <c r="B4" s="73"/>
      <c r="C4" s="76"/>
      <c r="D4" s="79"/>
      <c r="E4" s="82"/>
      <c r="F4" s="82"/>
      <c r="G4" s="4" t="s">
        <v>360</v>
      </c>
      <c r="H4" s="13">
        <v>3.49</v>
      </c>
      <c r="I4" s="29" t="str">
        <f t="shared" ref="I4:I17" si="0">IF(H4="","",(IF($C$20&lt;25%,"N/A",IF(H4&lt;=($D$20+$A$20),H4,"Descartado"))))</f>
        <v>N/A</v>
      </c>
    </row>
    <row r="5" spans="1:9">
      <c r="A5" s="71"/>
      <c r="B5" s="73"/>
      <c r="C5" s="76"/>
      <c r="D5" s="79"/>
      <c r="E5" s="82"/>
      <c r="F5" s="82"/>
      <c r="G5" s="4" t="s">
        <v>361</v>
      </c>
      <c r="H5" s="13">
        <v>3.4</v>
      </c>
      <c r="I5" s="29" t="str">
        <f t="shared" si="0"/>
        <v>N/A</v>
      </c>
    </row>
    <row r="6" spans="1:9">
      <c r="A6" s="71"/>
      <c r="B6" s="73"/>
      <c r="C6" s="76"/>
      <c r="D6" s="79"/>
      <c r="E6" s="82"/>
      <c r="F6" s="82"/>
      <c r="G6" s="4" t="s">
        <v>350</v>
      </c>
      <c r="H6" s="13">
        <v>2.65</v>
      </c>
      <c r="I6" s="29" t="str">
        <f t="shared" si="0"/>
        <v>N/A</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0.43116122274620355</v>
      </c>
      <c r="B20" s="19">
        <f>COUNT(H3:H17)</f>
        <v>4</v>
      </c>
      <c r="C20" s="20">
        <f>IF(B20&lt;2,"N/A",(A20/D20))</f>
        <v>0.13105204338790383</v>
      </c>
      <c r="D20" s="21">
        <f>ROUND(AVERAGE(H3:H17),2)</f>
        <v>3.29</v>
      </c>
      <c r="E20" s="22" t="str">
        <f>IFERROR(ROUND(IF(B20&lt;2,"N/A",(IF(C20&lt;=25%,"N/A",AVERAGE(I3:I17)))),2),"N/A")</f>
        <v>N/A</v>
      </c>
      <c r="F20" s="22">
        <f>ROUND(MEDIAN(H3:H17),2)</f>
        <v>3.45</v>
      </c>
      <c r="G20" s="23" t="str">
        <f>INDEX(G3:G17,MATCH(H20,H3:H17,0))</f>
        <v>PAPELARIA BLAU</v>
      </c>
      <c r="H20" s="24">
        <f>MIN(H3:H17)</f>
        <v>2.65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3.29</v>
      </c>
    </row>
    <row r="23" spans="1:11">
      <c r="B23" s="32"/>
      <c r="C23" s="32"/>
      <c r="D23" s="67"/>
      <c r="E23" s="67"/>
      <c r="F23" s="36"/>
      <c r="G23" s="27" t="s">
        <v>8</v>
      </c>
      <c r="H23" s="28">
        <f>ROUND(H22,2)*D3</f>
        <v>9870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2" sqref="G12"/>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77</v>
      </c>
      <c r="B2" s="30" t="s">
        <v>22</v>
      </c>
      <c r="C2" s="30" t="s">
        <v>1</v>
      </c>
      <c r="D2" s="30" t="s">
        <v>2</v>
      </c>
      <c r="E2" s="14" t="s">
        <v>30</v>
      </c>
      <c r="F2" s="14" t="s">
        <v>31</v>
      </c>
      <c r="G2" s="30" t="s">
        <v>3</v>
      </c>
      <c r="H2" s="15" t="s">
        <v>4</v>
      </c>
      <c r="I2" s="16" t="s">
        <v>9</v>
      </c>
    </row>
    <row r="3" spans="1:9" ht="12.75" customHeight="1">
      <c r="A3" s="71"/>
      <c r="B3" s="72" t="s">
        <v>184</v>
      </c>
      <c r="C3" s="75" t="s">
        <v>147</v>
      </c>
      <c r="D3" s="78">
        <v>2000</v>
      </c>
      <c r="E3" s="81">
        <f>IF(C20&lt;=25%,D20,MIN(E20:F20))</f>
        <v>2.71</v>
      </c>
      <c r="F3" s="81">
        <f>MIN(H3:H17)</f>
        <v>2.09</v>
      </c>
      <c r="G3" s="4" t="s">
        <v>362</v>
      </c>
      <c r="H3" s="13">
        <v>3.99</v>
      </c>
      <c r="I3" s="29" t="str">
        <f>IF(H3="","",(IF($C$20&lt;25%,"N/A",IF(H3&lt;=($D$20+$A$20),H3,"Descartado"))))</f>
        <v>Descartado</v>
      </c>
    </row>
    <row r="4" spans="1:9">
      <c r="A4" s="71"/>
      <c r="B4" s="73"/>
      <c r="C4" s="76"/>
      <c r="D4" s="79"/>
      <c r="E4" s="82"/>
      <c r="F4" s="82"/>
      <c r="G4" s="4" t="s">
        <v>363</v>
      </c>
      <c r="H4" s="13">
        <v>2.85</v>
      </c>
      <c r="I4" s="29">
        <f t="shared" ref="I4:I17" si="0">IF(H4="","",(IF($C$20&lt;25%,"N/A",IF(H4&lt;=($D$20+$A$20),H4,"Descartado"))))</f>
        <v>2.85</v>
      </c>
    </row>
    <row r="5" spans="1:9">
      <c r="A5" s="71"/>
      <c r="B5" s="73"/>
      <c r="C5" s="76"/>
      <c r="D5" s="79"/>
      <c r="E5" s="82"/>
      <c r="F5" s="82"/>
      <c r="G5" s="4" t="s">
        <v>350</v>
      </c>
      <c r="H5" s="13">
        <v>2.09</v>
      </c>
      <c r="I5" s="29">
        <f t="shared" si="0"/>
        <v>2.09</v>
      </c>
    </row>
    <row r="6" spans="1:9">
      <c r="A6" s="71"/>
      <c r="B6" s="73"/>
      <c r="C6" s="76"/>
      <c r="D6" s="79"/>
      <c r="E6" s="82"/>
      <c r="F6" s="82"/>
      <c r="G6" s="4" t="s">
        <v>344</v>
      </c>
      <c r="H6" s="13">
        <v>3.19</v>
      </c>
      <c r="I6" s="29">
        <f t="shared" si="0"/>
        <v>3.19</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0.78807783033572665</v>
      </c>
      <c r="B20" s="19">
        <f>COUNT(H3:H17)</f>
        <v>4</v>
      </c>
      <c r="C20" s="20">
        <f>IF(B20&lt;2,"N/A",(A20/D20))</f>
        <v>0.26009169318010783</v>
      </c>
      <c r="D20" s="21">
        <f>ROUND(AVERAGE(H3:H17),2)</f>
        <v>3.03</v>
      </c>
      <c r="E20" s="22">
        <f>IFERROR(ROUND(IF(B20&lt;2,"N/A",(IF(C20&lt;=25%,"N/A",AVERAGE(I3:I17)))),2),"N/A")</f>
        <v>2.71</v>
      </c>
      <c r="F20" s="22">
        <f>ROUND(MEDIAN(H3:H17),2)</f>
        <v>3.02</v>
      </c>
      <c r="G20" s="23" t="str">
        <f>INDEX(G3:G17,MATCH(H20,H3:H17,0))</f>
        <v>PAPELARIA BLAU</v>
      </c>
      <c r="H20" s="24">
        <f>MIN(H3:H17)</f>
        <v>2.09</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2.71</v>
      </c>
    </row>
    <row r="23" spans="1:11">
      <c r="B23" s="32"/>
      <c r="C23" s="32"/>
      <c r="D23" s="67"/>
      <c r="E23" s="67"/>
      <c r="F23" s="36"/>
      <c r="G23" s="27" t="s">
        <v>8</v>
      </c>
      <c r="H23" s="28">
        <f>ROUND(H22,2)*D3</f>
        <v>5420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78</v>
      </c>
      <c r="B2" s="30" t="s">
        <v>22</v>
      </c>
      <c r="C2" s="30" t="s">
        <v>1</v>
      </c>
      <c r="D2" s="30" t="s">
        <v>2</v>
      </c>
      <c r="E2" s="14" t="s">
        <v>30</v>
      </c>
      <c r="F2" s="14" t="s">
        <v>31</v>
      </c>
      <c r="G2" s="30" t="s">
        <v>3</v>
      </c>
      <c r="H2" s="15" t="s">
        <v>4</v>
      </c>
      <c r="I2" s="16" t="s">
        <v>9</v>
      </c>
    </row>
    <row r="3" spans="1:9" ht="12.75" customHeight="1">
      <c r="A3" s="71"/>
      <c r="B3" s="72" t="s">
        <v>185</v>
      </c>
      <c r="C3" s="75" t="s">
        <v>147</v>
      </c>
      <c r="D3" s="78">
        <v>2000</v>
      </c>
      <c r="E3" s="81">
        <f>IF(C20&lt;=25%,D20,MIN(E20:F20))</f>
        <v>3.92</v>
      </c>
      <c r="F3" s="81">
        <f>MIN(H3:H17)</f>
        <v>2.09</v>
      </c>
      <c r="G3" s="4" t="s">
        <v>362</v>
      </c>
      <c r="H3" s="13">
        <v>3.99</v>
      </c>
      <c r="I3" s="29">
        <f>IF(H3="","",(IF($C$20&lt;25%,"N/A",IF(H3&lt;=($D$20+$A$20),H3,"Descartado"))))</f>
        <v>3.99</v>
      </c>
    </row>
    <row r="4" spans="1:9">
      <c r="A4" s="71"/>
      <c r="B4" s="73"/>
      <c r="C4" s="76"/>
      <c r="D4" s="79"/>
      <c r="E4" s="82"/>
      <c r="F4" s="82"/>
      <c r="G4" s="4" t="s">
        <v>363</v>
      </c>
      <c r="H4" s="13">
        <v>4.4000000000000004</v>
      </c>
      <c r="I4" s="29">
        <f t="shared" ref="I4:I17" si="0">IF(H4="","",(IF($C$20&lt;25%,"N/A",IF(H4&lt;=($D$20+$A$20),H4,"Descartado"))))</f>
        <v>4.4000000000000004</v>
      </c>
    </row>
    <row r="5" spans="1:9">
      <c r="A5" s="71"/>
      <c r="B5" s="73"/>
      <c r="C5" s="76"/>
      <c r="D5" s="79"/>
      <c r="E5" s="82"/>
      <c r="F5" s="82"/>
      <c r="G5" s="4" t="s">
        <v>350</v>
      </c>
      <c r="H5" s="13">
        <v>2.09</v>
      </c>
      <c r="I5" s="29">
        <f t="shared" si="0"/>
        <v>2.09</v>
      </c>
    </row>
    <row r="6" spans="1:9">
      <c r="A6" s="71"/>
      <c r="B6" s="73"/>
      <c r="C6" s="76"/>
      <c r="D6" s="79"/>
      <c r="E6" s="82"/>
      <c r="F6" s="82"/>
      <c r="G6" s="4" t="s">
        <v>344</v>
      </c>
      <c r="H6" s="13">
        <v>5.2</v>
      </c>
      <c r="I6" s="29">
        <f t="shared" si="0"/>
        <v>5.2</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1.3194190640833834</v>
      </c>
      <c r="B20" s="19">
        <f>COUNT(H3:H17)</f>
        <v>4</v>
      </c>
      <c r="C20" s="20">
        <f>IF(B20&lt;2,"N/A",(A20/D20))</f>
        <v>0.33658649593963863</v>
      </c>
      <c r="D20" s="21">
        <f>ROUND(AVERAGE(H3:H17),2)</f>
        <v>3.92</v>
      </c>
      <c r="E20" s="22">
        <f>IFERROR(ROUND(IF(B20&lt;2,"N/A",(IF(C20&lt;=25%,"N/A",AVERAGE(I3:I17)))),2),"N/A")</f>
        <v>3.92</v>
      </c>
      <c r="F20" s="22">
        <f>ROUND(MEDIAN(H3:H17),2)</f>
        <v>4.2</v>
      </c>
      <c r="G20" s="23" t="str">
        <f>INDEX(G3:G17,MATCH(H20,H3:H17,0))</f>
        <v>PAPELARIA BLAU</v>
      </c>
      <c r="H20" s="24">
        <f>MIN(H3:H17)</f>
        <v>2.09</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3.92</v>
      </c>
    </row>
    <row r="23" spans="1:11">
      <c r="B23" s="32"/>
      <c r="C23" s="32"/>
      <c r="D23" s="67"/>
      <c r="E23" s="67"/>
      <c r="F23" s="36"/>
      <c r="G23" s="27" t="s">
        <v>8</v>
      </c>
      <c r="H23" s="28">
        <f>ROUND(H22,2)*D3</f>
        <v>7840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79</v>
      </c>
      <c r="B2" s="30" t="s">
        <v>22</v>
      </c>
      <c r="C2" s="30" t="s">
        <v>1</v>
      </c>
      <c r="D2" s="30" t="s">
        <v>2</v>
      </c>
      <c r="E2" s="14" t="s">
        <v>30</v>
      </c>
      <c r="F2" s="14" t="s">
        <v>31</v>
      </c>
      <c r="G2" s="30" t="s">
        <v>3</v>
      </c>
      <c r="H2" s="15" t="s">
        <v>4</v>
      </c>
      <c r="I2" s="16" t="s">
        <v>9</v>
      </c>
    </row>
    <row r="3" spans="1:9" ht="12.75" customHeight="1">
      <c r="A3" s="71"/>
      <c r="B3" s="72" t="s">
        <v>186</v>
      </c>
      <c r="C3" s="75" t="s">
        <v>147</v>
      </c>
      <c r="D3" s="78">
        <v>2000</v>
      </c>
      <c r="E3" s="81">
        <f>IF(C20&lt;=25%,D20,MIN(E20:F20))</f>
        <v>10.51</v>
      </c>
      <c r="F3" s="81">
        <f>MIN(H3:H17)</f>
        <v>8</v>
      </c>
      <c r="G3" s="4" t="s">
        <v>311</v>
      </c>
      <c r="H3" s="13">
        <v>9.7899999999999991</v>
      </c>
      <c r="I3" s="29" t="str">
        <f>IF(H3="","",(IF($C$20&lt;25%,"N/A",IF(H3&lt;=($D$20+$A$20),H3,"Descartado"))))</f>
        <v>N/A</v>
      </c>
    </row>
    <row r="4" spans="1:9">
      <c r="A4" s="71"/>
      <c r="B4" s="73"/>
      <c r="C4" s="76"/>
      <c r="D4" s="79"/>
      <c r="E4" s="82"/>
      <c r="F4" s="82"/>
      <c r="G4" s="4" t="s">
        <v>251</v>
      </c>
      <c r="H4" s="13">
        <v>8</v>
      </c>
      <c r="I4" s="29" t="str">
        <f t="shared" ref="I4:I17" si="0">IF(H4="","",(IF($C$20&lt;25%,"N/A",IF(H4&lt;=($D$20+$A$20),H4,"Descartado"))))</f>
        <v>N/A</v>
      </c>
    </row>
    <row r="5" spans="1:9">
      <c r="A5" s="71"/>
      <c r="B5" s="73"/>
      <c r="C5" s="76"/>
      <c r="D5" s="79"/>
      <c r="E5" s="82"/>
      <c r="F5" s="82"/>
      <c r="G5" s="4" t="s">
        <v>312</v>
      </c>
      <c r="H5" s="13">
        <v>12.4</v>
      </c>
      <c r="I5" s="29" t="str">
        <f t="shared" si="0"/>
        <v>N/A</v>
      </c>
    </row>
    <row r="6" spans="1:9">
      <c r="A6" s="71"/>
      <c r="B6" s="73"/>
      <c r="C6" s="76"/>
      <c r="D6" s="79"/>
      <c r="E6" s="82"/>
      <c r="F6" s="82"/>
      <c r="G6" s="4" t="s">
        <v>268</v>
      </c>
      <c r="H6" s="13">
        <v>12.14</v>
      </c>
      <c r="I6" s="29" t="str">
        <f t="shared" si="0"/>
        <v>N/A</v>
      </c>
    </row>
    <row r="7" spans="1:9">
      <c r="A7" s="71"/>
      <c r="B7" s="73"/>
      <c r="C7" s="76"/>
      <c r="D7" s="79"/>
      <c r="E7" s="82"/>
      <c r="F7" s="82"/>
      <c r="G7" s="4" t="s">
        <v>313</v>
      </c>
      <c r="H7" s="13">
        <v>10.23</v>
      </c>
      <c r="I7" s="29" t="str">
        <f t="shared" si="0"/>
        <v>N/A</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1.8114828180250602</v>
      </c>
      <c r="B20" s="19">
        <f>COUNT(H3:H17)</f>
        <v>5</v>
      </c>
      <c r="C20" s="20">
        <f>IF(B20&lt;2,"N/A",(A20/D20))</f>
        <v>0.17235802264748432</v>
      </c>
      <c r="D20" s="21">
        <f>ROUND(AVERAGE(H3:H17),2)</f>
        <v>10.51</v>
      </c>
      <c r="E20" s="22" t="str">
        <f>IFERROR(ROUND(IF(B20&lt;2,"N/A",(IF(C20&lt;=25%,"N/A",AVERAGE(I3:I17)))),2),"N/A")</f>
        <v>N/A</v>
      </c>
      <c r="F20" s="22">
        <f>ROUND(MEDIAN(H3:H17),2)</f>
        <v>10.23</v>
      </c>
      <c r="G20" s="23" t="str">
        <f>INDEX(G3:G17,MATCH(H20,H3:H17,0))</f>
        <v>C.L.C. MAUES LTDA</v>
      </c>
      <c r="H20" s="24">
        <f>MIN(H3:H17)</f>
        <v>8</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10.51</v>
      </c>
    </row>
    <row r="23" spans="1:11">
      <c r="B23" s="32"/>
      <c r="C23" s="32"/>
      <c r="D23" s="67"/>
      <c r="E23" s="67"/>
      <c r="F23" s="36"/>
      <c r="G23" s="27" t="s">
        <v>8</v>
      </c>
      <c r="H23" s="28">
        <f>ROUND(H22,2)*D3</f>
        <v>21020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80</v>
      </c>
      <c r="B2" s="30" t="s">
        <v>22</v>
      </c>
      <c r="C2" s="30" t="s">
        <v>1</v>
      </c>
      <c r="D2" s="30" t="s">
        <v>2</v>
      </c>
      <c r="E2" s="14" t="s">
        <v>30</v>
      </c>
      <c r="F2" s="14" t="s">
        <v>31</v>
      </c>
      <c r="G2" s="30" t="s">
        <v>3</v>
      </c>
      <c r="H2" s="15" t="s">
        <v>4</v>
      </c>
      <c r="I2" s="16" t="s">
        <v>9</v>
      </c>
    </row>
    <row r="3" spans="1:9" ht="12.75" customHeight="1">
      <c r="A3" s="71"/>
      <c r="B3" s="72" t="s">
        <v>187</v>
      </c>
      <c r="C3" s="75" t="s">
        <v>147</v>
      </c>
      <c r="D3" s="78">
        <v>2000</v>
      </c>
      <c r="E3" s="81">
        <f>IF(C20&lt;=25%,D20,MIN(E20:F20))</f>
        <v>11.26</v>
      </c>
      <c r="F3" s="81">
        <f>MIN(H3:H17)</f>
        <v>8</v>
      </c>
      <c r="G3" s="4" t="s">
        <v>251</v>
      </c>
      <c r="H3" s="13">
        <v>8</v>
      </c>
      <c r="I3" s="29" t="str">
        <f>IF(H3="","",(IF($C$20&lt;25%,"N/A",IF(H3&lt;=($D$20+$A$20),H3,"Descartado"))))</f>
        <v>N/A</v>
      </c>
    </row>
    <row r="4" spans="1:9">
      <c r="A4" s="71"/>
      <c r="B4" s="73"/>
      <c r="C4" s="76"/>
      <c r="D4" s="79"/>
      <c r="E4" s="82"/>
      <c r="F4" s="82"/>
      <c r="G4" s="4" t="s">
        <v>253</v>
      </c>
      <c r="H4" s="13">
        <v>10.5</v>
      </c>
      <c r="I4" s="29" t="str">
        <f t="shared" ref="I4:I17" si="0">IF(H4="","",(IF($C$20&lt;25%,"N/A",IF(H4&lt;=($D$20+$A$20),H4,"Descartado"))))</f>
        <v>N/A</v>
      </c>
    </row>
    <row r="5" spans="1:9">
      <c r="A5" s="71"/>
      <c r="B5" s="73"/>
      <c r="C5" s="76"/>
      <c r="D5" s="79"/>
      <c r="E5" s="82"/>
      <c r="F5" s="82"/>
      <c r="G5" s="4" t="s">
        <v>314</v>
      </c>
      <c r="H5" s="13">
        <v>10.6</v>
      </c>
      <c r="I5" s="29" t="str">
        <f t="shared" si="0"/>
        <v>N/A</v>
      </c>
    </row>
    <row r="6" spans="1:9">
      <c r="A6" s="71"/>
      <c r="B6" s="73"/>
      <c r="C6" s="76"/>
      <c r="D6" s="79"/>
      <c r="E6" s="82"/>
      <c r="F6" s="82"/>
      <c r="G6" s="4" t="s">
        <v>315</v>
      </c>
      <c r="H6" s="13">
        <v>12.04</v>
      </c>
      <c r="I6" s="29" t="str">
        <f t="shared" si="0"/>
        <v>N/A</v>
      </c>
    </row>
    <row r="7" spans="1:9">
      <c r="A7" s="71"/>
      <c r="B7" s="73"/>
      <c r="C7" s="76"/>
      <c r="D7" s="79"/>
      <c r="E7" s="82"/>
      <c r="F7" s="82"/>
      <c r="G7" s="4" t="s">
        <v>254</v>
      </c>
      <c r="H7" s="13">
        <v>14.22</v>
      </c>
      <c r="I7" s="29" t="str">
        <f t="shared" si="0"/>
        <v>N/A</v>
      </c>
    </row>
    <row r="8" spans="1:9">
      <c r="A8" s="71"/>
      <c r="B8" s="73"/>
      <c r="C8" s="76"/>
      <c r="D8" s="79"/>
      <c r="E8" s="82"/>
      <c r="F8" s="82"/>
      <c r="G8" s="4" t="s">
        <v>197</v>
      </c>
      <c r="H8" s="13">
        <v>12</v>
      </c>
      <c r="I8" s="29" t="str">
        <f t="shared" si="0"/>
        <v>N/A</v>
      </c>
    </row>
    <row r="9" spans="1:9">
      <c r="A9" s="71"/>
      <c r="B9" s="73"/>
      <c r="C9" s="76"/>
      <c r="D9" s="79"/>
      <c r="E9" s="82"/>
      <c r="F9" s="82"/>
      <c r="G9" s="4" t="s">
        <v>313</v>
      </c>
      <c r="H9" s="13">
        <v>10.23</v>
      </c>
      <c r="I9" s="29" t="str">
        <f t="shared" si="0"/>
        <v>N/A</v>
      </c>
    </row>
    <row r="10" spans="1:9">
      <c r="A10" s="71"/>
      <c r="B10" s="73"/>
      <c r="C10" s="76"/>
      <c r="D10" s="79"/>
      <c r="E10" s="82"/>
      <c r="F10" s="82"/>
      <c r="G10" s="4" t="s">
        <v>232</v>
      </c>
      <c r="H10" s="13">
        <v>12.51</v>
      </c>
      <c r="I10" s="29" t="str">
        <f t="shared" si="0"/>
        <v>N/A</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1.858638134303096</v>
      </c>
      <c r="B20" s="19">
        <f>COUNT(H3:H17)</f>
        <v>8</v>
      </c>
      <c r="C20" s="20">
        <f>IF(B20&lt;2,"N/A",(A20/D20))</f>
        <v>0.16506555366812575</v>
      </c>
      <c r="D20" s="21">
        <f>ROUND(AVERAGE(H3:H17),2)</f>
        <v>11.26</v>
      </c>
      <c r="E20" s="22" t="str">
        <f>IFERROR(ROUND(IF(B20&lt;2,"N/A",(IF(C20&lt;=25%,"N/A",AVERAGE(I3:I17)))),2),"N/A")</f>
        <v>N/A</v>
      </c>
      <c r="F20" s="22">
        <f>ROUND(MEDIAN(H3:H17),2)</f>
        <v>11.3</v>
      </c>
      <c r="G20" s="23" t="str">
        <f>INDEX(G3:G17,MATCH(H20,H3:H17,0))</f>
        <v>C.L.C. MAUES LTDA</v>
      </c>
      <c r="H20" s="24">
        <f>MIN(H3:H17)</f>
        <v>8</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11.26</v>
      </c>
    </row>
    <row r="23" spans="1:11">
      <c r="B23" s="32"/>
      <c r="C23" s="32"/>
      <c r="D23" s="67"/>
      <c r="E23" s="67"/>
      <c r="F23" s="36"/>
      <c r="G23" s="27" t="s">
        <v>8</v>
      </c>
      <c r="H23" s="28">
        <f>ROUND(H22,2)*D3</f>
        <v>22520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81</v>
      </c>
      <c r="B2" s="30" t="s">
        <v>22</v>
      </c>
      <c r="C2" s="30" t="s">
        <v>1</v>
      </c>
      <c r="D2" s="30" t="s">
        <v>2</v>
      </c>
      <c r="E2" s="14" t="s">
        <v>30</v>
      </c>
      <c r="F2" s="14" t="s">
        <v>31</v>
      </c>
      <c r="G2" s="30" t="s">
        <v>3</v>
      </c>
      <c r="H2" s="15" t="s">
        <v>4</v>
      </c>
      <c r="I2" s="16" t="s">
        <v>9</v>
      </c>
    </row>
    <row r="3" spans="1:9" ht="12.75" customHeight="1">
      <c r="A3" s="71"/>
      <c r="B3" s="72" t="s">
        <v>188</v>
      </c>
      <c r="C3" s="75" t="s">
        <v>147</v>
      </c>
      <c r="D3" s="78">
        <v>5000</v>
      </c>
      <c r="E3" s="81">
        <f>IF(C20&lt;=25%,D20,MIN(E20:F20))</f>
        <v>4.1900000000000004</v>
      </c>
      <c r="F3" s="81">
        <f>MIN(H3:H17)</f>
        <v>2.6</v>
      </c>
      <c r="G3" s="4" t="s">
        <v>316</v>
      </c>
      <c r="H3" s="13">
        <v>6.98</v>
      </c>
      <c r="I3" s="29">
        <f>IF(H3="","",(IF($C$20&lt;25%,"N/A",IF(H3&lt;=($D$20+$A$20),H3,"Descartado"))))</f>
        <v>6.98</v>
      </c>
    </row>
    <row r="4" spans="1:9">
      <c r="A4" s="71"/>
      <c r="B4" s="73"/>
      <c r="C4" s="76"/>
      <c r="D4" s="79"/>
      <c r="E4" s="82"/>
      <c r="F4" s="82"/>
      <c r="G4" s="4" t="s">
        <v>284</v>
      </c>
      <c r="H4" s="13">
        <v>2.98</v>
      </c>
      <c r="I4" s="29">
        <f t="shared" ref="I4:I17" si="0">IF(H4="","",(IF($C$20&lt;25%,"N/A",IF(H4&lt;=($D$20+$A$20),H4,"Descartado"))))</f>
        <v>2.98</v>
      </c>
    </row>
    <row r="5" spans="1:9">
      <c r="A5" s="71"/>
      <c r="B5" s="73"/>
      <c r="C5" s="76"/>
      <c r="D5" s="79"/>
      <c r="E5" s="82"/>
      <c r="F5" s="82"/>
      <c r="G5" s="4" t="s">
        <v>254</v>
      </c>
      <c r="H5" s="13">
        <v>9.99</v>
      </c>
      <c r="I5" s="29" t="str">
        <f t="shared" si="0"/>
        <v>Descartado</v>
      </c>
    </row>
    <row r="6" spans="1:9">
      <c r="A6" s="71"/>
      <c r="B6" s="73"/>
      <c r="C6" s="76"/>
      <c r="D6" s="79"/>
      <c r="E6" s="82"/>
      <c r="F6" s="82"/>
      <c r="G6" s="4" t="s">
        <v>317</v>
      </c>
      <c r="H6" s="13">
        <v>2.6</v>
      </c>
      <c r="I6" s="29">
        <f t="shared" si="0"/>
        <v>2.6</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3.513558262882039</v>
      </c>
      <c r="B20" s="19">
        <f>COUNT(H3:H17)</f>
        <v>4</v>
      </c>
      <c r="C20" s="20">
        <f>IF(B20&lt;2,"N/A",(A20/D20))</f>
        <v>0.62297132320603532</v>
      </c>
      <c r="D20" s="21">
        <f>ROUND(AVERAGE(H3:H17),2)</f>
        <v>5.64</v>
      </c>
      <c r="E20" s="22">
        <f>IFERROR(ROUND(IF(B20&lt;2,"N/A",(IF(C20&lt;=25%,"N/A",AVERAGE(I3:I17)))),2),"N/A")</f>
        <v>4.1900000000000004</v>
      </c>
      <c r="F20" s="22">
        <f>ROUND(MEDIAN(H3:H17),2)</f>
        <v>4.9800000000000004</v>
      </c>
      <c r="G20" s="23" t="str">
        <f>INDEX(G3:G17,MATCH(H20,H3:H17,0))</f>
        <v>LER - LIVRARIA E PAPELARIA LTDA</v>
      </c>
      <c r="H20" s="24">
        <f>MIN(H3:H17)</f>
        <v>2.6</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4.1900000000000004</v>
      </c>
    </row>
    <row r="23" spans="1:11">
      <c r="B23" s="32"/>
      <c r="C23" s="32"/>
      <c r="D23" s="67"/>
      <c r="E23" s="67"/>
      <c r="F23" s="36"/>
      <c r="G23" s="27" t="s">
        <v>8</v>
      </c>
      <c r="H23" s="28">
        <f>ROUND(H22,2)*D3</f>
        <v>20950.000000000004</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0" sqref="G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82</v>
      </c>
      <c r="B2" s="30" t="s">
        <v>22</v>
      </c>
      <c r="C2" s="30" t="s">
        <v>1</v>
      </c>
      <c r="D2" s="30" t="s">
        <v>2</v>
      </c>
      <c r="E2" s="14" t="s">
        <v>30</v>
      </c>
      <c r="F2" s="14" t="s">
        <v>31</v>
      </c>
      <c r="G2" s="30" t="s">
        <v>3</v>
      </c>
      <c r="H2" s="15" t="s">
        <v>4</v>
      </c>
      <c r="I2" s="16" t="s">
        <v>9</v>
      </c>
    </row>
    <row r="3" spans="1:9" ht="12.75" customHeight="1">
      <c r="A3" s="71"/>
      <c r="B3" s="72" t="s">
        <v>189</v>
      </c>
      <c r="C3" s="75" t="s">
        <v>147</v>
      </c>
      <c r="D3" s="78">
        <v>1000</v>
      </c>
      <c r="E3" s="81">
        <f>IF(C20&lt;=25%,D20,MIN(E20:F20))</f>
        <v>4.5</v>
      </c>
      <c r="F3" s="81">
        <f>MIN(H3:H17)</f>
        <v>4.0999999999999996</v>
      </c>
      <c r="G3" s="4" t="s">
        <v>318</v>
      </c>
      <c r="H3" s="13">
        <v>8.66</v>
      </c>
      <c r="I3" s="29" t="str">
        <f>IF(H3="","",(IF($C$20&lt;25%,"N/A",IF(H3&lt;=($D$20+$A$20),H3,"Descartado"))))</f>
        <v>Descartado</v>
      </c>
    </row>
    <row r="4" spans="1:9">
      <c r="A4" s="71"/>
      <c r="B4" s="73"/>
      <c r="C4" s="76"/>
      <c r="D4" s="79"/>
      <c r="E4" s="82"/>
      <c r="F4" s="82"/>
      <c r="G4" s="4" t="s">
        <v>319</v>
      </c>
      <c r="H4" s="13">
        <v>4.0999999999999996</v>
      </c>
      <c r="I4" s="29">
        <f t="shared" ref="I4:I17" si="0">IF(H4="","",(IF($C$20&lt;25%,"N/A",IF(H4&lt;=($D$20+$A$20),H4,"Descartado"))))</f>
        <v>4.0999999999999996</v>
      </c>
    </row>
    <row r="5" spans="1:9">
      <c r="A5" s="71"/>
      <c r="B5" s="73"/>
      <c r="C5" s="76"/>
      <c r="D5" s="79"/>
      <c r="E5" s="82"/>
      <c r="F5" s="82"/>
      <c r="G5" s="4" t="s">
        <v>320</v>
      </c>
      <c r="H5" s="13">
        <v>4.1500000000000004</v>
      </c>
      <c r="I5" s="29">
        <f t="shared" si="0"/>
        <v>4.1500000000000004</v>
      </c>
    </row>
    <row r="6" spans="1:9">
      <c r="A6" s="71"/>
      <c r="B6" s="73"/>
      <c r="C6" s="76"/>
      <c r="D6" s="79"/>
      <c r="E6" s="82"/>
      <c r="F6" s="82"/>
      <c r="G6" s="4" t="s">
        <v>210</v>
      </c>
      <c r="H6" s="13">
        <v>4.16</v>
      </c>
      <c r="I6" s="29">
        <f t="shared" si="0"/>
        <v>4.16</v>
      </c>
    </row>
    <row r="7" spans="1:9">
      <c r="A7" s="71"/>
      <c r="B7" s="73"/>
      <c r="C7" s="76"/>
      <c r="D7" s="79"/>
      <c r="E7" s="82"/>
      <c r="F7" s="82"/>
      <c r="G7" s="4" t="s">
        <v>321</v>
      </c>
      <c r="H7" s="13">
        <v>5.39</v>
      </c>
      <c r="I7" s="29">
        <f t="shared" si="0"/>
        <v>5.39</v>
      </c>
    </row>
    <row r="8" spans="1:9">
      <c r="A8" s="71"/>
      <c r="B8" s="73"/>
      <c r="C8" s="76"/>
      <c r="D8" s="79"/>
      <c r="E8" s="82"/>
      <c r="F8" s="82"/>
      <c r="G8" s="4" t="s">
        <v>200</v>
      </c>
      <c r="H8" s="13">
        <v>5.45</v>
      </c>
      <c r="I8" s="29">
        <f t="shared" si="0"/>
        <v>5.45</v>
      </c>
    </row>
    <row r="9" spans="1:9">
      <c r="A9" s="71"/>
      <c r="B9" s="73"/>
      <c r="C9" s="76"/>
      <c r="D9" s="79"/>
      <c r="E9" s="82"/>
      <c r="F9" s="82"/>
      <c r="G9" s="4" t="s">
        <v>246</v>
      </c>
      <c r="H9" s="13">
        <v>4.5</v>
      </c>
      <c r="I9" s="29">
        <f t="shared" si="0"/>
        <v>4.5</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1.6306586457771048</v>
      </c>
      <c r="B20" s="19">
        <f>COUNT(H3:H17)</f>
        <v>7</v>
      </c>
      <c r="C20" s="20">
        <f>IF(B20&lt;2,"N/A",(A20/D20))</f>
        <v>0.31358820111098168</v>
      </c>
      <c r="D20" s="21">
        <f>ROUND(AVERAGE(H3:H17),2)</f>
        <v>5.2</v>
      </c>
      <c r="E20" s="22">
        <f>IFERROR(ROUND(IF(B20&lt;2,"N/A",(IF(C20&lt;=25%,"N/A",AVERAGE(I3:I17)))),2),"N/A")</f>
        <v>4.63</v>
      </c>
      <c r="F20" s="22">
        <f>ROUND(MEDIAN(H3:H17),2)</f>
        <v>4.5</v>
      </c>
      <c r="G20" s="23" t="str">
        <f>INDEX(G3:G17,MATCH(H20,H3:H17,0))</f>
        <v>RLDOK DISTRIBUIDORA DE MATERIAL E SERVICOS LTDA</v>
      </c>
      <c r="H20" s="24">
        <f>MIN(H3:H17)</f>
        <v>4.0999999999999996</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4.5</v>
      </c>
    </row>
    <row r="23" spans="1:11">
      <c r="B23" s="32"/>
      <c r="C23" s="32"/>
      <c r="D23" s="67"/>
      <c r="E23" s="67"/>
      <c r="F23" s="36"/>
      <c r="G23" s="27" t="s">
        <v>8</v>
      </c>
      <c r="H23" s="28">
        <f>ROUND(H22,2)*D3</f>
        <v>4500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83</v>
      </c>
      <c r="B2" s="30" t="s">
        <v>22</v>
      </c>
      <c r="C2" s="30" t="s">
        <v>1</v>
      </c>
      <c r="D2" s="30" t="s">
        <v>2</v>
      </c>
      <c r="E2" s="14" t="s">
        <v>30</v>
      </c>
      <c r="F2" s="14" t="s">
        <v>31</v>
      </c>
      <c r="G2" s="30" t="s">
        <v>3</v>
      </c>
      <c r="H2" s="15" t="s">
        <v>4</v>
      </c>
      <c r="I2" s="16" t="s">
        <v>9</v>
      </c>
    </row>
    <row r="3" spans="1:9" ht="12.75" customHeight="1">
      <c r="A3" s="71"/>
      <c r="B3" s="72" t="s">
        <v>190</v>
      </c>
      <c r="C3" s="75" t="s">
        <v>147</v>
      </c>
      <c r="D3" s="78">
        <v>10</v>
      </c>
      <c r="E3" s="81">
        <f>IF(C20&lt;=25%,D20,MIN(E20:F20))</f>
        <v>270.56</v>
      </c>
      <c r="F3" s="81">
        <f>MIN(H3:H17)</f>
        <v>179.98</v>
      </c>
      <c r="G3" s="4" t="s">
        <v>334</v>
      </c>
      <c r="H3" s="13">
        <v>280.39999999999998</v>
      </c>
      <c r="I3" s="29" t="str">
        <f>IF(H3="","",(IF($C$20&lt;25%,"N/A",IF(H3&lt;=($D$20+$A$20),H3,"Descartado"))))</f>
        <v>N/A</v>
      </c>
    </row>
    <row r="4" spans="1:9">
      <c r="A4" s="71"/>
      <c r="B4" s="73"/>
      <c r="C4" s="76"/>
      <c r="D4" s="79"/>
      <c r="E4" s="82"/>
      <c r="F4" s="82"/>
      <c r="G4" s="4" t="s">
        <v>364</v>
      </c>
      <c r="H4" s="13">
        <v>333</v>
      </c>
      <c r="I4" s="29" t="str">
        <f t="shared" ref="I4:I17" si="0">IF(H4="","",(IF($C$20&lt;25%,"N/A",IF(H4&lt;=($D$20+$A$20),H4,"Descartado"))))</f>
        <v>N/A</v>
      </c>
    </row>
    <row r="5" spans="1:9">
      <c r="A5" s="71"/>
      <c r="B5" s="73"/>
      <c r="C5" s="76"/>
      <c r="D5" s="79"/>
      <c r="E5" s="82"/>
      <c r="F5" s="82"/>
      <c r="G5" s="4" t="s">
        <v>341</v>
      </c>
      <c r="H5" s="13">
        <v>322.91000000000003</v>
      </c>
      <c r="I5" s="29" t="str">
        <f t="shared" si="0"/>
        <v>N/A</v>
      </c>
    </row>
    <row r="6" spans="1:9">
      <c r="A6" s="71"/>
      <c r="B6" s="73"/>
      <c r="C6" s="76"/>
      <c r="D6" s="79"/>
      <c r="E6" s="82"/>
      <c r="F6" s="82"/>
      <c r="G6" s="4" t="s">
        <v>332</v>
      </c>
      <c r="H6" s="13">
        <v>236.52</v>
      </c>
      <c r="I6" s="29" t="str">
        <f t="shared" si="0"/>
        <v>N/A</v>
      </c>
    </row>
    <row r="7" spans="1:9">
      <c r="A7" s="71"/>
      <c r="B7" s="73"/>
      <c r="C7" s="76"/>
      <c r="D7" s="79"/>
      <c r="E7" s="82"/>
      <c r="F7" s="82"/>
      <c r="G7" s="4" t="s">
        <v>365</v>
      </c>
      <c r="H7" s="13">
        <v>179.98</v>
      </c>
      <c r="I7" s="29" t="str">
        <f t="shared" si="0"/>
        <v>N/A</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63.442020144380663</v>
      </c>
      <c r="B20" s="19">
        <f>COUNT(H3:H17)</f>
        <v>5</v>
      </c>
      <c r="C20" s="20">
        <f>IF(B20&lt;2,"N/A",(A20/D20))</f>
        <v>0.23448410757089244</v>
      </c>
      <c r="D20" s="21">
        <f>ROUND(AVERAGE(H3:H17),2)</f>
        <v>270.56</v>
      </c>
      <c r="E20" s="22" t="str">
        <f>IFERROR(ROUND(IF(B20&lt;2,"N/A",(IF(C20&lt;=25%,"N/A",AVERAGE(I3:I17)))),2),"N/A")</f>
        <v>N/A</v>
      </c>
      <c r="F20" s="22">
        <f>ROUND(MEDIAN(H3:H17),2)</f>
        <v>280.39999999999998</v>
      </c>
      <c r="G20" s="23" t="str">
        <f>INDEX(G3:G17,MATCH(H20,H3:H17,0))</f>
        <v>TEBEL SUPRIMENTOS</v>
      </c>
      <c r="H20" s="24">
        <f>MIN(H3:H17)</f>
        <v>179.98</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270.56</v>
      </c>
    </row>
    <row r="23" spans="1:11">
      <c r="B23" s="32"/>
      <c r="C23" s="32"/>
      <c r="D23" s="67"/>
      <c r="E23" s="67"/>
      <c r="F23" s="36"/>
      <c r="G23" s="27" t="s">
        <v>8</v>
      </c>
      <c r="H23" s="28">
        <f>ROUND(H22,2)*D3</f>
        <v>2705.6</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3" sqref="G3:H13"/>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39</v>
      </c>
      <c r="B2" s="30" t="s">
        <v>22</v>
      </c>
      <c r="C2" s="30" t="s">
        <v>1</v>
      </c>
      <c r="D2" s="30" t="s">
        <v>2</v>
      </c>
      <c r="E2" s="14" t="s">
        <v>30</v>
      </c>
      <c r="F2" s="14" t="s">
        <v>31</v>
      </c>
      <c r="G2" s="30" t="s">
        <v>3</v>
      </c>
      <c r="H2" s="15" t="s">
        <v>4</v>
      </c>
      <c r="I2" s="16" t="s">
        <v>9</v>
      </c>
    </row>
    <row r="3" spans="1:9" ht="12.75" customHeight="1">
      <c r="A3" s="71"/>
      <c r="B3" s="72" t="s">
        <v>142</v>
      </c>
      <c r="C3" s="75" t="s">
        <v>141</v>
      </c>
      <c r="D3" s="78">
        <f>2000*0.25</f>
        <v>500</v>
      </c>
      <c r="E3" s="81">
        <f>IF(C20&lt;=25%,D20,MIN(E20:F20))</f>
        <v>51.06</v>
      </c>
      <c r="F3" s="81">
        <f>MIN(H3:H17)</f>
        <v>38.450000000000003</v>
      </c>
      <c r="G3" s="4" t="s">
        <v>196</v>
      </c>
      <c r="H3" s="13">
        <v>38.450000000000003</v>
      </c>
      <c r="I3" s="29" t="str">
        <f>IF(H3="","",(IF($C$20&lt;25%,"N/A",IF(H3&lt;=($D$20+$A$20),H3,"Descartado"))))</f>
        <v>N/A</v>
      </c>
    </row>
    <row r="4" spans="1:9">
      <c r="A4" s="71"/>
      <c r="B4" s="73"/>
      <c r="C4" s="76"/>
      <c r="D4" s="79"/>
      <c r="E4" s="82"/>
      <c r="F4" s="82"/>
      <c r="G4" s="4" t="s">
        <v>204</v>
      </c>
      <c r="H4" s="13">
        <v>45.4</v>
      </c>
      <c r="I4" s="29" t="str">
        <f t="shared" ref="I4:I17" si="0">IF(H4="","",(IF($C$20&lt;25%,"N/A",IF(H4&lt;=($D$20+$A$20),H4,"Descartado"))))</f>
        <v>N/A</v>
      </c>
    </row>
    <row r="5" spans="1:9">
      <c r="A5" s="71"/>
      <c r="B5" s="73"/>
      <c r="C5" s="76"/>
      <c r="D5" s="79"/>
      <c r="E5" s="82"/>
      <c r="F5" s="82"/>
      <c r="G5" s="4" t="s">
        <v>333</v>
      </c>
      <c r="H5" s="13">
        <v>67.989999999999995</v>
      </c>
      <c r="I5" s="29" t="str">
        <f t="shared" si="0"/>
        <v>N/A</v>
      </c>
    </row>
    <row r="6" spans="1:9">
      <c r="A6" s="71"/>
      <c r="B6" s="73"/>
      <c r="C6" s="76"/>
      <c r="D6" s="79"/>
      <c r="E6" s="82"/>
      <c r="F6" s="82"/>
      <c r="G6" s="4" t="s">
        <v>371</v>
      </c>
      <c r="H6" s="13">
        <v>48.06</v>
      </c>
      <c r="I6" s="29" t="str">
        <f t="shared" si="0"/>
        <v>N/A</v>
      </c>
    </row>
    <row r="7" spans="1:9">
      <c r="A7" s="71"/>
      <c r="B7" s="73"/>
      <c r="C7" s="76"/>
      <c r="D7" s="79"/>
      <c r="E7" s="82"/>
      <c r="F7" s="82"/>
      <c r="G7" s="4" t="s">
        <v>350</v>
      </c>
      <c r="H7" s="13">
        <v>55.42</v>
      </c>
      <c r="I7" s="29" t="str">
        <f t="shared" si="0"/>
        <v>N/A</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11.243688451749289</v>
      </c>
      <c r="B20" s="19">
        <f>COUNT(H3:H17)</f>
        <v>5</v>
      </c>
      <c r="C20" s="20">
        <f>IF(B20&lt;2,"N/A",(A20/D20))</f>
        <v>0.22020541425282586</v>
      </c>
      <c r="D20" s="21">
        <f>ROUND(AVERAGE(H3:H17),2)</f>
        <v>51.06</v>
      </c>
      <c r="E20" s="22" t="str">
        <f>IFERROR(ROUND(IF(B20&lt;2,"N/A",(IF(C20&lt;=25%,"N/A",AVERAGE(I3:I17)))),2),"N/A")</f>
        <v>N/A</v>
      </c>
      <c r="F20" s="22">
        <f>ROUND(MEDIAN(H3:H17),2)</f>
        <v>48.06</v>
      </c>
      <c r="G20" s="23" t="str">
        <f>INDEX(G3:G17,MATCH(H20,H3:H17,0))</f>
        <v xml:space="preserve">EXCLUSIVA COMERCIO E SERVICOS, PAPELARIA E INFORMATICA LTDA </v>
      </c>
      <c r="H20" s="24">
        <f>MIN(H3:H17)</f>
        <v>38.450000000000003</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51.06</v>
      </c>
    </row>
    <row r="23" spans="1:11">
      <c r="B23" s="32"/>
      <c r="C23" s="32"/>
      <c r="D23" s="67"/>
      <c r="E23" s="67"/>
      <c r="F23" s="36"/>
      <c r="G23" s="27" t="s">
        <v>8</v>
      </c>
      <c r="H23" s="28">
        <f>ROUND(H22,2)*D3</f>
        <v>25530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84</v>
      </c>
      <c r="B2" s="30" t="s">
        <v>22</v>
      </c>
      <c r="C2" s="30" t="s">
        <v>1</v>
      </c>
      <c r="D2" s="30" t="s">
        <v>2</v>
      </c>
      <c r="E2" s="14" t="s">
        <v>30</v>
      </c>
      <c r="F2" s="14" t="s">
        <v>31</v>
      </c>
      <c r="G2" s="30" t="s">
        <v>3</v>
      </c>
      <c r="H2" s="15" t="s">
        <v>4</v>
      </c>
      <c r="I2" s="16" t="s">
        <v>9</v>
      </c>
    </row>
    <row r="3" spans="1:9" ht="12.75" customHeight="1">
      <c r="A3" s="71"/>
      <c r="B3" s="72" t="s">
        <v>191</v>
      </c>
      <c r="C3" s="75" t="s">
        <v>147</v>
      </c>
      <c r="D3" s="78">
        <v>20</v>
      </c>
      <c r="E3" s="81">
        <f>IF(C20&lt;=25%,D20,MIN(E20:F20))</f>
        <v>7.22</v>
      </c>
      <c r="F3" s="81">
        <f>MIN(H3:H17)</f>
        <v>5</v>
      </c>
      <c r="G3" s="4" t="s">
        <v>322</v>
      </c>
      <c r="H3" s="13">
        <v>5</v>
      </c>
      <c r="I3" s="29">
        <f>IF(H3="","",(IF($C$20&lt;25%,"N/A",IF(H3&lt;=($D$20+$A$20),H3,"Descartado"))))</f>
        <v>5</v>
      </c>
    </row>
    <row r="4" spans="1:9">
      <c r="A4" s="71"/>
      <c r="B4" s="73"/>
      <c r="C4" s="76"/>
      <c r="D4" s="79"/>
      <c r="E4" s="82"/>
      <c r="F4" s="82"/>
      <c r="G4" s="4" t="s">
        <v>366</v>
      </c>
      <c r="H4" s="13">
        <v>6.99</v>
      </c>
      <c r="I4" s="29">
        <f t="shared" ref="I4:I17" si="0">IF(H4="","",(IF($C$20&lt;25%,"N/A",IF(H4&lt;=($D$20+$A$20),H4,"Descartado"))))</f>
        <v>6.99</v>
      </c>
    </row>
    <row r="5" spans="1:9">
      <c r="A5" s="71"/>
      <c r="B5" s="73"/>
      <c r="C5" s="76"/>
      <c r="D5" s="79"/>
      <c r="E5" s="82"/>
      <c r="F5" s="82"/>
      <c r="G5" s="4" t="s">
        <v>367</v>
      </c>
      <c r="H5" s="13">
        <v>19</v>
      </c>
      <c r="I5" s="29">
        <f t="shared" si="0"/>
        <v>19</v>
      </c>
    </row>
    <row r="6" spans="1:9">
      <c r="A6" s="71"/>
      <c r="B6" s="73"/>
      <c r="C6" s="76"/>
      <c r="D6" s="79"/>
      <c r="E6" s="82"/>
      <c r="F6" s="82"/>
      <c r="G6" s="4" t="s">
        <v>368</v>
      </c>
      <c r="H6" s="13">
        <v>7.22</v>
      </c>
      <c r="I6" s="29">
        <f t="shared" si="0"/>
        <v>7.22</v>
      </c>
    </row>
    <row r="7" spans="1:9">
      <c r="A7" s="71"/>
      <c r="B7" s="73"/>
      <c r="C7" s="76"/>
      <c r="D7" s="79"/>
      <c r="E7" s="82"/>
      <c r="F7" s="82"/>
      <c r="G7" s="4" t="s">
        <v>369</v>
      </c>
      <c r="H7" s="13">
        <v>69.900000000000006</v>
      </c>
      <c r="I7" s="29" t="str">
        <f t="shared" si="0"/>
        <v>Descartado</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27.547432185232804</v>
      </c>
      <c r="B20" s="19">
        <f>COUNT(H3:H17)</f>
        <v>5</v>
      </c>
      <c r="C20" s="20">
        <f>IF(B20&lt;2,"N/A",(A20/D20))</f>
        <v>1.2741643008895838</v>
      </c>
      <c r="D20" s="21">
        <f>ROUND(AVERAGE(H3:H17),2)</f>
        <v>21.62</v>
      </c>
      <c r="E20" s="22">
        <f>IFERROR(ROUND(IF(B20&lt;2,"N/A",(IF(C20&lt;=25%,"N/A",AVERAGE(I3:I17)))),2),"N/A")</f>
        <v>9.5500000000000007</v>
      </c>
      <c r="F20" s="22">
        <f>ROUND(MEDIAN(H3:H17),2)</f>
        <v>7.22</v>
      </c>
      <c r="G20" s="23" t="str">
        <f>INDEX(G3:G17,MATCH(H20,H3:H17,0))</f>
        <v>SOBRAL-CHAVES E CARIMBOS LTDA</v>
      </c>
      <c r="H20" s="24">
        <f>MIN(H3:H17)</f>
        <v>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7.22</v>
      </c>
    </row>
    <row r="23" spans="1:11">
      <c r="B23" s="32"/>
      <c r="C23" s="32"/>
      <c r="D23" s="67"/>
      <c r="E23" s="67"/>
      <c r="F23" s="36"/>
      <c r="G23" s="27" t="s">
        <v>8</v>
      </c>
      <c r="H23" s="28">
        <f>ROUND(H22,2)*D3</f>
        <v>144.4</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5" sqref="H5"/>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85</v>
      </c>
      <c r="B2" s="39" t="s">
        <v>22</v>
      </c>
      <c r="C2" s="39" t="s">
        <v>1</v>
      </c>
      <c r="D2" s="39" t="s">
        <v>2</v>
      </c>
      <c r="E2" s="14" t="s">
        <v>30</v>
      </c>
      <c r="F2" s="14" t="s">
        <v>31</v>
      </c>
      <c r="G2" s="39" t="s">
        <v>3</v>
      </c>
      <c r="H2" s="15" t="s">
        <v>4</v>
      </c>
      <c r="I2" s="16" t="s">
        <v>9</v>
      </c>
    </row>
    <row r="3" spans="1:9" ht="12.75" customHeight="1">
      <c r="A3" s="71"/>
      <c r="B3" s="72" t="s">
        <v>192</v>
      </c>
      <c r="C3" s="75" t="s">
        <v>147</v>
      </c>
      <c r="D3" s="78">
        <v>500</v>
      </c>
      <c r="E3" s="81">
        <f>IF(C20&lt;=25%,D20,MIN(E20:F20))</f>
        <v>43.64</v>
      </c>
      <c r="F3" s="81">
        <f>MIN(H3:H17)</f>
        <v>35.28</v>
      </c>
      <c r="G3" s="4" t="s">
        <v>376</v>
      </c>
      <c r="H3" s="13">
        <v>52</v>
      </c>
      <c r="I3" s="29">
        <f>IF(H3="","",(IF($C$20&lt;25%,"N/A",IF(H3&lt;=($D$20+$A$20),H3,"Descartado"))))</f>
        <v>52</v>
      </c>
    </row>
    <row r="4" spans="1:9">
      <c r="A4" s="71"/>
      <c r="B4" s="73"/>
      <c r="C4" s="76"/>
      <c r="D4" s="79"/>
      <c r="E4" s="82"/>
      <c r="F4" s="82"/>
      <c r="G4" s="4" t="s">
        <v>375</v>
      </c>
      <c r="H4" s="13">
        <v>35.28</v>
      </c>
      <c r="I4" s="29">
        <f t="shared" ref="I4:I17" si="0">IF(H4="","",(IF($C$20&lt;25%,"N/A",IF(H4&lt;=($D$20+$A$20),H4,"Descartado"))))</f>
        <v>35.28</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11.822825381439053</v>
      </c>
      <c r="B20" s="19">
        <f>COUNT(H3:H17)</f>
        <v>2</v>
      </c>
      <c r="C20" s="20">
        <f>IF(B20&lt;2,"N/A",(A20/D20))</f>
        <v>0.27091717189365383</v>
      </c>
      <c r="D20" s="21">
        <f>ROUND(AVERAGE(H3:H17),2)</f>
        <v>43.64</v>
      </c>
      <c r="E20" s="22">
        <f>IFERROR(ROUND(IF(B20&lt;2,"N/A",(IF(C20&lt;=25%,"N/A",AVERAGE(I3:I17)))),2),"N/A")</f>
        <v>43.64</v>
      </c>
      <c r="F20" s="22">
        <f>ROUND(MEDIAN(H3:H17),2)</f>
        <v>43.64</v>
      </c>
      <c r="G20" s="23" t="str">
        <f>INDEX(G3:G17,MATCH(H20,H3:H17,0))</f>
        <v>D &amp; W COMERCIO E SERVICOS</v>
      </c>
      <c r="H20" s="24">
        <f>MIN(H3:H17)</f>
        <v>35.28</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43.64</v>
      </c>
    </row>
    <row r="23" spans="1:11">
      <c r="B23" s="32"/>
      <c r="C23" s="32"/>
      <c r="D23" s="67"/>
      <c r="E23" s="67"/>
      <c r="F23" s="36"/>
      <c r="G23" s="27" t="s">
        <v>8</v>
      </c>
      <c r="H23" s="28">
        <f>ROUND(H22,2)*D3</f>
        <v>21820</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2" sqref="G12"/>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86</v>
      </c>
      <c r="B2" s="39" t="s">
        <v>22</v>
      </c>
      <c r="C2" s="39" t="s">
        <v>1</v>
      </c>
      <c r="D2" s="39" t="s">
        <v>2</v>
      </c>
      <c r="E2" s="14" t="s">
        <v>30</v>
      </c>
      <c r="F2" s="14" t="s">
        <v>31</v>
      </c>
      <c r="G2" s="39" t="s">
        <v>3</v>
      </c>
      <c r="H2" s="15" t="s">
        <v>4</v>
      </c>
      <c r="I2" s="16" t="s">
        <v>9</v>
      </c>
    </row>
    <row r="3" spans="1:9" ht="12.75" customHeight="1">
      <c r="A3" s="71"/>
      <c r="B3" s="72" t="s">
        <v>193</v>
      </c>
      <c r="C3" s="75" t="s">
        <v>147</v>
      </c>
      <c r="D3" s="78">
        <v>300</v>
      </c>
      <c r="E3" s="81">
        <f>IF(C20&lt;=25%,D20,MIN(E20:F20))</f>
        <v>2.4500000000000002</v>
      </c>
      <c r="F3" s="81">
        <f>MIN(H3:H17)</f>
        <v>1.43</v>
      </c>
      <c r="G3" s="4" t="s">
        <v>323</v>
      </c>
      <c r="H3" s="13">
        <v>4.9000000000000004</v>
      </c>
      <c r="I3" s="29" t="str">
        <f>IF(H3="","",(IF($C$20&lt;25%,"N/A",IF(H3&lt;=($D$20+$A$20),H3,"Descartado"))))</f>
        <v>Descartado</v>
      </c>
    </row>
    <row r="4" spans="1:9">
      <c r="A4" s="71"/>
      <c r="B4" s="73"/>
      <c r="C4" s="76"/>
      <c r="D4" s="79"/>
      <c r="E4" s="82"/>
      <c r="F4" s="82"/>
      <c r="G4" s="4" t="s">
        <v>236</v>
      </c>
      <c r="H4" s="13">
        <v>3.17</v>
      </c>
      <c r="I4" s="29">
        <f t="shared" ref="I4:I17" si="0">IF(H4="","",(IF($C$20&lt;25%,"N/A",IF(H4&lt;=($D$20+$A$20),H4,"Descartado"))))</f>
        <v>3.17</v>
      </c>
    </row>
    <row r="5" spans="1:9">
      <c r="A5" s="71"/>
      <c r="B5" s="73"/>
      <c r="C5" s="76"/>
      <c r="D5" s="79"/>
      <c r="E5" s="82"/>
      <c r="F5" s="82"/>
      <c r="G5" s="4" t="s">
        <v>265</v>
      </c>
      <c r="H5" s="13">
        <v>2.7</v>
      </c>
      <c r="I5" s="29">
        <f t="shared" si="0"/>
        <v>2.7</v>
      </c>
    </row>
    <row r="6" spans="1:9">
      <c r="A6" s="71"/>
      <c r="B6" s="73"/>
      <c r="C6" s="76"/>
      <c r="D6" s="79"/>
      <c r="E6" s="82"/>
      <c r="F6" s="82"/>
      <c r="G6" s="4" t="s">
        <v>324</v>
      </c>
      <c r="H6" s="13">
        <v>2.99</v>
      </c>
      <c r="I6" s="29">
        <f t="shared" si="0"/>
        <v>2.99</v>
      </c>
    </row>
    <row r="7" spans="1:9">
      <c r="A7" s="71"/>
      <c r="B7" s="73"/>
      <c r="C7" s="76"/>
      <c r="D7" s="79"/>
      <c r="E7" s="82"/>
      <c r="F7" s="82"/>
      <c r="G7" s="4" t="s">
        <v>325</v>
      </c>
      <c r="H7" s="13">
        <v>2.2999999999999998</v>
      </c>
      <c r="I7" s="29">
        <f t="shared" si="0"/>
        <v>2.2999999999999998</v>
      </c>
    </row>
    <row r="8" spans="1:9">
      <c r="A8" s="71"/>
      <c r="B8" s="73"/>
      <c r="C8" s="76"/>
      <c r="D8" s="79"/>
      <c r="E8" s="82"/>
      <c r="F8" s="82"/>
      <c r="G8" s="4" t="s">
        <v>326</v>
      </c>
      <c r="H8" s="13">
        <v>4</v>
      </c>
      <c r="I8" s="29" t="str">
        <f t="shared" si="0"/>
        <v>Descartado</v>
      </c>
    </row>
    <row r="9" spans="1:9">
      <c r="A9" s="71"/>
      <c r="B9" s="73"/>
      <c r="C9" s="76"/>
      <c r="D9" s="79"/>
      <c r="E9" s="82"/>
      <c r="F9" s="82"/>
      <c r="G9" s="4" t="s">
        <v>317</v>
      </c>
      <c r="H9" s="13">
        <v>2.64</v>
      </c>
      <c r="I9" s="29">
        <f t="shared" si="0"/>
        <v>2.64</v>
      </c>
    </row>
    <row r="10" spans="1:9">
      <c r="A10" s="71"/>
      <c r="B10" s="73"/>
      <c r="C10" s="76"/>
      <c r="D10" s="79"/>
      <c r="E10" s="82"/>
      <c r="F10" s="82"/>
      <c r="G10" s="4" t="s">
        <v>327</v>
      </c>
      <c r="H10" s="13">
        <v>1.43</v>
      </c>
      <c r="I10" s="29">
        <f t="shared" si="0"/>
        <v>1.43</v>
      </c>
    </row>
    <row r="11" spans="1:9">
      <c r="A11" s="71"/>
      <c r="B11" s="73"/>
      <c r="C11" s="76"/>
      <c r="D11" s="79"/>
      <c r="E11" s="82"/>
      <c r="F11" s="82"/>
      <c r="G11" s="4" t="s">
        <v>328</v>
      </c>
      <c r="H11" s="13">
        <v>1.89</v>
      </c>
      <c r="I11" s="29">
        <f t="shared" si="0"/>
        <v>1.89</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1.0570530313617723</v>
      </c>
      <c r="B20" s="19">
        <f>COUNT(H3:H17)</f>
        <v>9</v>
      </c>
      <c r="C20" s="20">
        <f>IF(B20&lt;2,"N/A",(A20/D20))</f>
        <v>0.36576229458884851</v>
      </c>
      <c r="D20" s="21">
        <f>ROUND(AVERAGE(H3:H17),2)</f>
        <v>2.89</v>
      </c>
      <c r="E20" s="22">
        <f>IFERROR(ROUND(IF(B20&lt;2,"N/A",(IF(C20&lt;=25%,"N/A",AVERAGE(I3:I17)))),2),"N/A")</f>
        <v>2.4500000000000002</v>
      </c>
      <c r="F20" s="22">
        <f>ROUND(MEDIAN(H3:H17),2)</f>
        <v>2.7</v>
      </c>
      <c r="G20" s="23" t="str">
        <f>INDEX(G3:G17,MATCH(H20,H3:H17,0))</f>
        <v>LUCELIO APARECIDO MARQUES ALVES 03485121630</v>
      </c>
      <c r="H20" s="24">
        <f>MIN(H3:H17)</f>
        <v>1.43</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2.4500000000000002</v>
      </c>
    </row>
    <row r="23" spans="1:11">
      <c r="B23" s="32"/>
      <c r="C23" s="32"/>
      <c r="D23" s="67"/>
      <c r="E23" s="67"/>
      <c r="F23" s="36"/>
      <c r="G23" s="27" t="s">
        <v>8</v>
      </c>
      <c r="H23" s="28">
        <f>ROUND(H22,2)*D3</f>
        <v>735</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87</v>
      </c>
      <c r="B2" s="39" t="s">
        <v>22</v>
      </c>
      <c r="C2" s="39" t="s">
        <v>1</v>
      </c>
      <c r="D2" s="39" t="s">
        <v>2</v>
      </c>
      <c r="E2" s="14" t="s">
        <v>30</v>
      </c>
      <c r="F2" s="14" t="s">
        <v>31</v>
      </c>
      <c r="G2" s="39" t="s">
        <v>3</v>
      </c>
      <c r="H2" s="15" t="s">
        <v>4</v>
      </c>
      <c r="I2" s="16" t="s">
        <v>9</v>
      </c>
    </row>
    <row r="3" spans="1:9" ht="12.75" customHeight="1">
      <c r="A3" s="71"/>
      <c r="B3" s="72" t="s">
        <v>135</v>
      </c>
      <c r="C3" s="75" t="s">
        <v>136</v>
      </c>
      <c r="D3" s="78">
        <f>5000*0.75</f>
        <v>3750</v>
      </c>
      <c r="E3" s="81">
        <f>IF(C20&lt;=25%,D20,MIN(E20:F20))</f>
        <v>35.86</v>
      </c>
      <c r="F3" s="81">
        <f>MIN(H3:H17)</f>
        <v>21.65</v>
      </c>
      <c r="G3" s="4" t="s">
        <v>197</v>
      </c>
      <c r="H3" s="13">
        <v>21.65</v>
      </c>
      <c r="I3" s="29">
        <f>IF(H3="","",(IF($C$20&lt;25%,"N/A",IF(H3&lt;=($D$20+$A$20),H3,"Descartado"))))</f>
        <v>21.65</v>
      </c>
    </row>
    <row r="4" spans="1:9">
      <c r="A4" s="71"/>
      <c r="B4" s="73"/>
      <c r="C4" s="76"/>
      <c r="D4" s="79"/>
      <c r="E4" s="82"/>
      <c r="F4" s="82"/>
      <c r="G4" s="4" t="s">
        <v>198</v>
      </c>
      <c r="H4" s="13">
        <v>29.98</v>
      </c>
      <c r="I4" s="29">
        <f t="shared" ref="I4:I17" si="0">IF(H4="","",(IF($C$20&lt;25%,"N/A",IF(H4&lt;=($D$20+$A$20),H4,"Descartado"))))</f>
        <v>29.98</v>
      </c>
    </row>
    <row r="5" spans="1:9">
      <c r="A5" s="71"/>
      <c r="B5" s="73"/>
      <c r="C5" s="76"/>
      <c r="D5" s="79"/>
      <c r="E5" s="82"/>
      <c r="F5" s="82"/>
      <c r="G5" s="4" t="s">
        <v>334</v>
      </c>
      <c r="H5" s="13">
        <v>50.3</v>
      </c>
      <c r="I5" s="29">
        <f t="shared" si="0"/>
        <v>50.3</v>
      </c>
    </row>
    <row r="6" spans="1:9">
      <c r="A6" s="71"/>
      <c r="B6" s="73"/>
      <c r="C6" s="76"/>
      <c r="D6" s="79"/>
      <c r="E6" s="82"/>
      <c r="F6" s="82"/>
      <c r="G6" s="4" t="s">
        <v>340</v>
      </c>
      <c r="H6" s="13">
        <v>58.49</v>
      </c>
      <c r="I6" s="29" t="str">
        <f t="shared" si="0"/>
        <v>Descartado</v>
      </c>
    </row>
    <row r="7" spans="1:9">
      <c r="A7" s="71"/>
      <c r="B7" s="73"/>
      <c r="C7" s="76"/>
      <c r="D7" s="79"/>
      <c r="E7" s="82"/>
      <c r="F7" s="82"/>
      <c r="G7" s="4" t="s">
        <v>332</v>
      </c>
      <c r="H7" s="13">
        <v>41.5</v>
      </c>
      <c r="I7" s="29">
        <f t="shared" si="0"/>
        <v>41.5</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14.88796258727165</v>
      </c>
      <c r="B20" s="19">
        <f>COUNT(H3:H17)</f>
        <v>5</v>
      </c>
      <c r="C20" s="20">
        <f>IF(B20&lt;2,"N/A",(A20/D20))</f>
        <v>0.36869644842178428</v>
      </c>
      <c r="D20" s="21">
        <f>ROUND(AVERAGE(H3:H17),2)</f>
        <v>40.380000000000003</v>
      </c>
      <c r="E20" s="22">
        <f>IFERROR(ROUND(IF(B20&lt;2,"N/A",(IF(C20&lt;=25%,"N/A",AVERAGE(I3:I17)))),2),"N/A")</f>
        <v>35.86</v>
      </c>
      <c r="F20" s="22">
        <f>ROUND(MEDIAN(H3:H17),2)</f>
        <v>41.5</v>
      </c>
      <c r="G20" s="23" t="str">
        <f>INDEX(G3:G17,MATCH(H20,H3:H17,0))</f>
        <v>GRAFICA LUAR EDITORA E PAPELARIA LTDA</v>
      </c>
      <c r="H20" s="24">
        <f>MIN(H3:H17)</f>
        <v>21.65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35.86</v>
      </c>
    </row>
    <row r="23" spans="1:11">
      <c r="B23" s="32"/>
      <c r="C23" s="32"/>
      <c r="D23" s="67"/>
      <c r="E23" s="67"/>
      <c r="F23" s="36"/>
      <c r="G23" s="27" t="s">
        <v>8</v>
      </c>
      <c r="H23" s="28">
        <f>ROUND(H22,2)*D3</f>
        <v>134475</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1" sqref="G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88</v>
      </c>
      <c r="B2" s="39" t="s">
        <v>22</v>
      </c>
      <c r="C2" s="39" t="s">
        <v>1</v>
      </c>
      <c r="D2" s="39" t="s">
        <v>2</v>
      </c>
      <c r="E2" s="14" t="s">
        <v>30</v>
      </c>
      <c r="F2" s="14" t="s">
        <v>31</v>
      </c>
      <c r="G2" s="39" t="s">
        <v>3</v>
      </c>
      <c r="H2" s="15" t="s">
        <v>4</v>
      </c>
      <c r="I2" s="16" t="s">
        <v>9</v>
      </c>
    </row>
    <row r="3" spans="1:9" ht="12.75" customHeight="1">
      <c r="A3" s="71"/>
      <c r="B3" s="72" t="s">
        <v>142</v>
      </c>
      <c r="C3" s="75" t="s">
        <v>141</v>
      </c>
      <c r="D3" s="78">
        <f>2000*0.75</f>
        <v>1500</v>
      </c>
      <c r="E3" s="81">
        <f>IF(C20&lt;=25%,D20,MIN(E20:F20))</f>
        <v>51.06</v>
      </c>
      <c r="F3" s="81">
        <f>MIN(H3:H17)</f>
        <v>38.450000000000003</v>
      </c>
      <c r="G3" s="4" t="s">
        <v>196</v>
      </c>
      <c r="H3" s="13">
        <v>38.450000000000003</v>
      </c>
      <c r="I3" s="29" t="str">
        <f>IF(H3="","",(IF($C$20&lt;25%,"N/A",IF(H3&lt;=($D$20+$A$20),H3,"Descartado"))))</f>
        <v>N/A</v>
      </c>
    </row>
    <row r="4" spans="1:9">
      <c r="A4" s="71"/>
      <c r="B4" s="73"/>
      <c r="C4" s="76"/>
      <c r="D4" s="79"/>
      <c r="E4" s="82"/>
      <c r="F4" s="82"/>
      <c r="G4" s="4" t="s">
        <v>204</v>
      </c>
      <c r="H4" s="13">
        <v>45.4</v>
      </c>
      <c r="I4" s="29" t="str">
        <f t="shared" ref="I4:I17" si="0">IF(H4="","",(IF($C$20&lt;25%,"N/A",IF(H4&lt;=($D$20+$A$20),H4,"Descartado"))))</f>
        <v>N/A</v>
      </c>
    </row>
    <row r="5" spans="1:9">
      <c r="A5" s="71"/>
      <c r="B5" s="73"/>
      <c r="C5" s="76"/>
      <c r="D5" s="79"/>
      <c r="E5" s="82"/>
      <c r="F5" s="82"/>
      <c r="G5" s="4" t="s">
        <v>333</v>
      </c>
      <c r="H5" s="13">
        <v>67.989999999999995</v>
      </c>
      <c r="I5" s="29" t="str">
        <f t="shared" si="0"/>
        <v>N/A</v>
      </c>
    </row>
    <row r="6" spans="1:9">
      <c r="A6" s="71"/>
      <c r="B6" s="73"/>
      <c r="C6" s="76"/>
      <c r="D6" s="79"/>
      <c r="E6" s="82"/>
      <c r="F6" s="82"/>
      <c r="G6" s="4" t="s">
        <v>371</v>
      </c>
      <c r="H6" s="13">
        <v>48.06</v>
      </c>
      <c r="I6" s="29" t="str">
        <f t="shared" si="0"/>
        <v>N/A</v>
      </c>
    </row>
    <row r="7" spans="1:9">
      <c r="A7" s="71"/>
      <c r="B7" s="73"/>
      <c r="C7" s="76"/>
      <c r="D7" s="79"/>
      <c r="E7" s="82"/>
      <c r="F7" s="82"/>
      <c r="G7" s="4" t="s">
        <v>350</v>
      </c>
      <c r="H7" s="13">
        <v>55.42</v>
      </c>
      <c r="I7" s="29" t="str">
        <f t="shared" si="0"/>
        <v>N/A</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11.243688451749289</v>
      </c>
      <c r="B20" s="19">
        <f>COUNT(H3:H17)</f>
        <v>5</v>
      </c>
      <c r="C20" s="20">
        <f>IF(B20&lt;2,"N/A",(A20/D20))</f>
        <v>0.22020541425282586</v>
      </c>
      <c r="D20" s="21">
        <f>ROUND(AVERAGE(H3:H17),2)</f>
        <v>51.06</v>
      </c>
      <c r="E20" s="22" t="str">
        <f>IFERROR(ROUND(IF(B20&lt;2,"N/A",(IF(C20&lt;=25%,"N/A",AVERAGE(I3:I17)))),2),"N/A")</f>
        <v>N/A</v>
      </c>
      <c r="F20" s="22">
        <f>ROUND(MEDIAN(H3:H17),2)</f>
        <v>48.06</v>
      </c>
      <c r="G20" s="23" t="str">
        <f>INDEX(G3:G17,MATCH(H20,H3:H17,0))</f>
        <v xml:space="preserve">EXCLUSIVA COMERCIO E SERVICOS, PAPELARIA E INFORMATICA LTDA </v>
      </c>
      <c r="H20" s="24">
        <f>MIN(H3:H17)</f>
        <v>38.450000000000003</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51.06</v>
      </c>
    </row>
    <row r="23" spans="1:11">
      <c r="B23" s="32"/>
      <c r="C23" s="32"/>
      <c r="D23" s="67"/>
      <c r="E23" s="67"/>
      <c r="F23" s="36"/>
      <c r="G23" s="27" t="s">
        <v>8</v>
      </c>
      <c r="H23" s="28">
        <f>ROUND(H22,2)*D3</f>
        <v>76590</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4" sqref="G14"/>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89</v>
      </c>
      <c r="B2" s="39" t="s">
        <v>22</v>
      </c>
      <c r="C2" s="39" t="s">
        <v>1</v>
      </c>
      <c r="D2" s="39" t="s">
        <v>2</v>
      </c>
      <c r="E2" s="14" t="s">
        <v>30</v>
      </c>
      <c r="F2" s="14" t="s">
        <v>31</v>
      </c>
      <c r="G2" s="39" t="s">
        <v>3</v>
      </c>
      <c r="H2" s="15" t="s">
        <v>4</v>
      </c>
      <c r="I2" s="16" t="s">
        <v>9</v>
      </c>
    </row>
    <row r="3" spans="1:9" ht="12.75" customHeight="1">
      <c r="A3" s="71"/>
      <c r="B3" s="72" t="s">
        <v>167</v>
      </c>
      <c r="C3" s="75" t="s">
        <v>147</v>
      </c>
      <c r="D3" s="78">
        <f>35000*0.75</f>
        <v>26250</v>
      </c>
      <c r="E3" s="81">
        <f>IF(C20&lt;=25%,D20,MIN(E20:F20))</f>
        <v>2.62</v>
      </c>
      <c r="F3" s="81">
        <f>MIN(H3:H17)</f>
        <v>1.8</v>
      </c>
      <c r="G3" s="4" t="s">
        <v>226</v>
      </c>
      <c r="H3" s="13">
        <v>1.8</v>
      </c>
      <c r="I3" s="29">
        <f>IF(H3="","",(IF($C$20&lt;25%,"N/A",IF(H3&lt;=($D$20+$A$20),H3,"Descartado"))))</f>
        <v>1.8</v>
      </c>
    </row>
    <row r="4" spans="1:9">
      <c r="A4" s="71"/>
      <c r="B4" s="73"/>
      <c r="C4" s="76"/>
      <c r="D4" s="79"/>
      <c r="E4" s="82"/>
      <c r="F4" s="82"/>
      <c r="G4" s="4" t="s">
        <v>270</v>
      </c>
      <c r="H4" s="13">
        <v>2.0512000000000001</v>
      </c>
      <c r="I4" s="29">
        <f t="shared" ref="I4:I17" si="0">IF(H4="","",(IF($C$20&lt;25%,"N/A",IF(H4&lt;=($D$20+$A$20),H4,"Descartado"))))</f>
        <v>2.0512000000000001</v>
      </c>
    </row>
    <row r="5" spans="1:9">
      <c r="A5" s="71"/>
      <c r="B5" s="73"/>
      <c r="C5" s="76"/>
      <c r="D5" s="79"/>
      <c r="E5" s="82"/>
      <c r="F5" s="82"/>
      <c r="G5" s="4" t="s">
        <v>271</v>
      </c>
      <c r="H5" s="13">
        <v>4.04</v>
      </c>
      <c r="I5" s="29">
        <f t="shared" si="0"/>
        <v>4.04</v>
      </c>
    </row>
    <row r="6" spans="1:9">
      <c r="A6" s="71"/>
      <c r="B6" s="73"/>
      <c r="C6" s="76"/>
      <c r="D6" s="79"/>
      <c r="E6" s="82"/>
      <c r="F6" s="82"/>
      <c r="G6" s="4" t="s">
        <v>353</v>
      </c>
      <c r="H6" s="13">
        <v>4.78</v>
      </c>
      <c r="I6" s="29" t="str">
        <f t="shared" si="0"/>
        <v>Descartado</v>
      </c>
    </row>
    <row r="7" spans="1:9">
      <c r="A7" s="71"/>
      <c r="B7" s="73"/>
      <c r="C7" s="76"/>
      <c r="D7" s="79"/>
      <c r="E7" s="82"/>
      <c r="F7" s="82"/>
      <c r="G7" s="4" t="s">
        <v>329</v>
      </c>
      <c r="H7" s="13">
        <v>2.6</v>
      </c>
      <c r="I7" s="29">
        <f t="shared" si="0"/>
        <v>2.6</v>
      </c>
    </row>
    <row r="8" spans="1:9">
      <c r="A8" s="71"/>
      <c r="B8" s="73"/>
      <c r="C8" s="76"/>
      <c r="D8" s="79"/>
      <c r="E8" s="82"/>
      <c r="F8" s="82"/>
      <c r="G8" s="4" t="s">
        <v>354</v>
      </c>
      <c r="H8" s="13">
        <v>4.78</v>
      </c>
      <c r="I8" s="29" t="str">
        <f t="shared" si="0"/>
        <v>Descartado</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1.3577469965596189</v>
      </c>
      <c r="B20" s="19">
        <f>COUNT(H3:H17)</f>
        <v>6</v>
      </c>
      <c r="C20" s="20">
        <f>IF(B20&lt;2,"N/A",(A20/D20))</f>
        <v>0.40651107681425719</v>
      </c>
      <c r="D20" s="21">
        <f>ROUND(AVERAGE(H3:H17),2)</f>
        <v>3.34</v>
      </c>
      <c r="E20" s="22">
        <f>IFERROR(ROUND(IF(B20&lt;2,"N/A",(IF(C20&lt;=25%,"N/A",AVERAGE(I3:I17)))),2),"N/A")</f>
        <v>2.62</v>
      </c>
      <c r="F20" s="22">
        <f>ROUND(MEDIAN(H3:H17),2)</f>
        <v>3.32</v>
      </c>
      <c r="G20" s="23" t="str">
        <f>INDEX(G3:G17,MATCH(H20,H3:H17,0))</f>
        <v>COMERCIAL PROMOSTORE CONFECCOES LTDA</v>
      </c>
      <c r="H20" s="24">
        <f>MIN(H3:H17)</f>
        <v>1.8</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2.62</v>
      </c>
    </row>
    <row r="23" spans="1:11">
      <c r="B23" s="32"/>
      <c r="C23" s="32"/>
      <c r="D23" s="67"/>
      <c r="E23" s="67"/>
      <c r="F23" s="36"/>
      <c r="G23" s="27" t="s">
        <v>8</v>
      </c>
      <c r="H23" s="28">
        <f>ROUND(H22,2)*D3</f>
        <v>68775</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6" sqref="G1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90</v>
      </c>
      <c r="B2" s="39" t="s">
        <v>22</v>
      </c>
      <c r="C2" s="39" t="s">
        <v>1</v>
      </c>
      <c r="D2" s="39" t="s">
        <v>2</v>
      </c>
      <c r="E2" s="14" t="s">
        <v>30</v>
      </c>
      <c r="F2" s="14" t="s">
        <v>31</v>
      </c>
      <c r="G2" s="39" t="s">
        <v>3</v>
      </c>
      <c r="H2" s="15" t="s">
        <v>4</v>
      </c>
      <c r="I2" s="16" t="s">
        <v>9</v>
      </c>
    </row>
    <row r="3" spans="1:9" ht="12.75" customHeight="1">
      <c r="A3" s="71"/>
      <c r="B3" s="72" t="s">
        <v>177</v>
      </c>
      <c r="C3" s="75" t="s">
        <v>178</v>
      </c>
      <c r="D3" s="78">
        <f>30000-Item37!D3</f>
        <v>26579</v>
      </c>
      <c r="E3" s="81">
        <f>IF(C20&lt;=25%,D20,MIN(E20:F20))</f>
        <v>23.38</v>
      </c>
      <c r="F3" s="81">
        <f>MIN(H3:H17)</f>
        <v>20.5</v>
      </c>
      <c r="G3" s="4" t="s">
        <v>286</v>
      </c>
      <c r="H3" s="13">
        <v>23.97</v>
      </c>
      <c r="I3" s="29" t="str">
        <f>IF(H3="","",(IF($C$20&lt;25%,"N/A",IF(H3&lt;=($D$20+$A$20),H3,"Descartado"))))</f>
        <v>N/A</v>
      </c>
    </row>
    <row r="4" spans="1:9">
      <c r="A4" s="71"/>
      <c r="B4" s="73"/>
      <c r="C4" s="76"/>
      <c r="D4" s="79"/>
      <c r="E4" s="82"/>
      <c r="F4" s="82"/>
      <c r="G4" s="4" t="s">
        <v>287</v>
      </c>
      <c r="H4" s="13">
        <v>25.89</v>
      </c>
      <c r="I4" s="29" t="str">
        <f t="shared" ref="I4:I17" si="0">IF(H4="","",(IF($C$20&lt;25%,"N/A",IF(H4&lt;=($D$20+$A$20),H4,"Descartado"))))</f>
        <v>N/A</v>
      </c>
    </row>
    <row r="5" spans="1:9">
      <c r="A5" s="71"/>
      <c r="B5" s="73"/>
      <c r="C5" s="76"/>
      <c r="D5" s="79"/>
      <c r="E5" s="82"/>
      <c r="F5" s="82"/>
      <c r="G5" s="4" t="s">
        <v>288</v>
      </c>
      <c r="H5" s="13">
        <v>21.9</v>
      </c>
      <c r="I5" s="29" t="str">
        <f t="shared" si="0"/>
        <v>N/A</v>
      </c>
    </row>
    <row r="6" spans="1:9">
      <c r="A6" s="71"/>
      <c r="B6" s="73"/>
      <c r="C6" s="76"/>
      <c r="D6" s="79"/>
      <c r="E6" s="82"/>
      <c r="F6" s="82"/>
      <c r="G6" s="4" t="s">
        <v>289</v>
      </c>
      <c r="H6" s="13">
        <v>21.4</v>
      </c>
      <c r="I6" s="29" t="str">
        <f t="shared" si="0"/>
        <v>N/A</v>
      </c>
    </row>
    <row r="7" spans="1:9">
      <c r="A7" s="71"/>
      <c r="B7" s="73"/>
      <c r="C7" s="76"/>
      <c r="D7" s="79"/>
      <c r="E7" s="82"/>
      <c r="F7" s="82"/>
      <c r="G7" s="4" t="s">
        <v>290</v>
      </c>
      <c r="H7" s="13">
        <v>21.81</v>
      </c>
      <c r="I7" s="29" t="str">
        <f t="shared" si="0"/>
        <v>N/A</v>
      </c>
    </row>
    <row r="8" spans="1:9">
      <c r="A8" s="71"/>
      <c r="B8" s="73"/>
      <c r="C8" s="76"/>
      <c r="D8" s="79"/>
      <c r="E8" s="82"/>
      <c r="F8" s="82"/>
      <c r="G8" s="4" t="s">
        <v>291</v>
      </c>
      <c r="H8" s="13">
        <v>20.55</v>
      </c>
      <c r="I8" s="29" t="str">
        <f t="shared" si="0"/>
        <v>N/A</v>
      </c>
    </row>
    <row r="9" spans="1:9">
      <c r="A9" s="71"/>
      <c r="B9" s="73"/>
      <c r="C9" s="76"/>
      <c r="D9" s="79"/>
      <c r="E9" s="82"/>
      <c r="F9" s="82"/>
      <c r="G9" s="4" t="s">
        <v>292</v>
      </c>
      <c r="H9" s="13">
        <v>21.9</v>
      </c>
      <c r="I9" s="29" t="str">
        <f t="shared" si="0"/>
        <v>N/A</v>
      </c>
    </row>
    <row r="10" spans="1:9">
      <c r="A10" s="71"/>
      <c r="B10" s="73"/>
      <c r="C10" s="76"/>
      <c r="D10" s="79"/>
      <c r="E10" s="82"/>
      <c r="F10" s="82"/>
      <c r="G10" s="4" t="s">
        <v>293</v>
      </c>
      <c r="H10" s="13">
        <v>20.5</v>
      </c>
      <c r="I10" s="29" t="str">
        <f t="shared" si="0"/>
        <v>N/A</v>
      </c>
    </row>
    <row r="11" spans="1:9">
      <c r="A11" s="71"/>
      <c r="B11" s="73"/>
      <c r="C11" s="76"/>
      <c r="D11" s="79"/>
      <c r="E11" s="82"/>
      <c r="F11" s="82"/>
      <c r="G11" s="4" t="s">
        <v>224</v>
      </c>
      <c r="H11" s="13">
        <v>32.5</v>
      </c>
      <c r="I11" s="29" t="str">
        <f t="shared" si="0"/>
        <v>N/A</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3.8224991824720989</v>
      </c>
      <c r="B20" s="19">
        <f>COUNT(H3:H17)</f>
        <v>9</v>
      </c>
      <c r="C20" s="20">
        <f>IF(B20&lt;2,"N/A",(A20/D20))</f>
        <v>0.1634944047250684</v>
      </c>
      <c r="D20" s="21">
        <f>ROUND(AVERAGE(H3:H17),2)</f>
        <v>23.38</v>
      </c>
      <c r="E20" s="22" t="str">
        <f>IFERROR(ROUND(IF(B20&lt;2,"N/A",(IF(C20&lt;=25%,"N/A",AVERAGE(I3:I17)))),2),"N/A")</f>
        <v>N/A</v>
      </c>
      <c r="F20" s="22">
        <f>ROUND(MEDIAN(H3:H17),2)</f>
        <v>21.9</v>
      </c>
      <c r="G20" s="23" t="str">
        <f>INDEX(G3:G17,MATCH(H20,H3:H17,0))</f>
        <v>FOX ELETRONICA LTDA</v>
      </c>
      <c r="H20" s="24">
        <f>MIN(H3:H17)</f>
        <v>20.5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23.38</v>
      </c>
    </row>
    <row r="23" spans="1:11">
      <c r="B23" s="32"/>
      <c r="C23" s="32"/>
      <c r="D23" s="67"/>
      <c r="E23" s="67"/>
      <c r="F23" s="36"/>
      <c r="G23" s="27" t="s">
        <v>8</v>
      </c>
      <c r="H23" s="28">
        <f>ROUND(H22,2)*D3</f>
        <v>621417.02</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91</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92</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93</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abSelected="1" view="pageBreakPreview" zoomScaleNormal="100" zoomScaleSheetLayoutView="100" workbookViewId="0">
      <selection activeCell="J3" sqref="J3"/>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40</v>
      </c>
      <c r="B2" s="30" t="s">
        <v>22</v>
      </c>
      <c r="C2" s="30" t="s">
        <v>1</v>
      </c>
      <c r="D2" s="30" t="s">
        <v>2</v>
      </c>
      <c r="E2" s="14" t="s">
        <v>30</v>
      </c>
      <c r="F2" s="14" t="s">
        <v>31</v>
      </c>
      <c r="G2" s="30" t="s">
        <v>3</v>
      </c>
      <c r="H2" s="15" t="s">
        <v>4</v>
      </c>
      <c r="I2" s="16" t="s">
        <v>9</v>
      </c>
    </row>
    <row r="3" spans="1:9" ht="12.75" customHeight="1">
      <c r="A3" s="71"/>
      <c r="B3" s="72" t="s">
        <v>143</v>
      </c>
      <c r="C3" s="75" t="s">
        <v>144</v>
      </c>
      <c r="D3" s="78">
        <v>25</v>
      </c>
      <c r="E3" s="81">
        <f>IF(C20&lt;=25%,D20,MIN(E20:F20))</f>
        <v>86.4</v>
      </c>
      <c r="F3" s="81">
        <f>MIN(H3:H17)</f>
        <v>86.4</v>
      </c>
      <c r="G3" s="4" t="s">
        <v>375</v>
      </c>
      <c r="H3" s="13">
        <v>86.4</v>
      </c>
      <c r="I3" s="29" t="e">
        <f>IF(H3="","",(IF($C$20&lt;25%,"N/A",IF(H3&lt;=($D$20+$A$20),H3,"Descartado"))))</f>
        <v>#VALUE!</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1</v>
      </c>
      <c r="C20" s="20" t="str">
        <f>IF(B20&lt;2,"N/A",(A20/D20))</f>
        <v>N/A</v>
      </c>
      <c r="D20" s="21">
        <f>ROUND(AVERAGE(H3:H17),2)</f>
        <v>86.4</v>
      </c>
      <c r="E20" s="22" t="str">
        <f>IFERROR(ROUND(IF(B20&lt;2,"N/A",(IF(C20&lt;=25%,"N/A",AVERAGE(I3:I17)))),2),"N/A")</f>
        <v>N/A</v>
      </c>
      <c r="F20" s="22">
        <f>ROUND(MEDIAN(H3:H17),2)</f>
        <v>86.4</v>
      </c>
      <c r="G20" s="23" t="str">
        <f>INDEX(G3:G17,MATCH(H20,H3:H17,0))</f>
        <v>D &amp; W COMERCIO E SERVICOS</v>
      </c>
      <c r="H20" s="24">
        <f>MIN(H3:H17)</f>
        <v>86.4</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86.4</v>
      </c>
    </row>
    <row r="23" spans="1:11">
      <c r="B23" s="32"/>
      <c r="C23" s="32"/>
      <c r="D23" s="67"/>
      <c r="E23" s="67"/>
      <c r="F23" s="36"/>
      <c r="G23" s="27" t="s">
        <v>8</v>
      </c>
      <c r="H23" s="28">
        <f>ROUND(H22,2)*D3</f>
        <v>2160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94</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95</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96</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97</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98</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99</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100</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101</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102</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103</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J3" sqref="J3"/>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41</v>
      </c>
      <c r="B2" s="30" t="s">
        <v>22</v>
      </c>
      <c r="C2" s="30" t="s">
        <v>1</v>
      </c>
      <c r="D2" s="30" t="s">
        <v>2</v>
      </c>
      <c r="E2" s="14" t="s">
        <v>30</v>
      </c>
      <c r="F2" s="14" t="s">
        <v>31</v>
      </c>
      <c r="G2" s="30" t="s">
        <v>3</v>
      </c>
      <c r="H2" s="15" t="s">
        <v>4</v>
      </c>
      <c r="I2" s="16" t="s">
        <v>9</v>
      </c>
    </row>
    <row r="3" spans="1:9" ht="12.75" customHeight="1">
      <c r="A3" s="71"/>
      <c r="B3" s="72" t="s">
        <v>145</v>
      </c>
      <c r="C3" s="75" t="s">
        <v>144</v>
      </c>
      <c r="D3" s="78">
        <v>100</v>
      </c>
      <c r="E3" s="81">
        <f>IF(C20&lt;=25%,D20,MIN(E20:F20))</f>
        <v>104.4</v>
      </c>
      <c r="F3" s="81">
        <f>MIN(H3:H17)</f>
        <v>104.4</v>
      </c>
      <c r="G3" s="4" t="s">
        <v>375</v>
      </c>
      <c r="H3" s="13">
        <v>104.4</v>
      </c>
      <c r="I3" s="29" t="e">
        <f>IF(H3="","",(IF($C$20&lt;25%,"N/A",IF(H3&lt;=($D$20+$A$20),H3,"Descartado"))))</f>
        <v>#VALUE!</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1</v>
      </c>
      <c r="C20" s="20" t="str">
        <f>IF(B20&lt;2,"N/A",(A20/D20))</f>
        <v>N/A</v>
      </c>
      <c r="D20" s="21">
        <f>ROUND(AVERAGE(H3:H17),2)</f>
        <v>104.4</v>
      </c>
      <c r="E20" s="22" t="str">
        <f>IFERROR(ROUND(IF(B20&lt;2,"N/A",(IF(C20&lt;=25%,"N/A",AVERAGE(I3:I17)))),2),"N/A")</f>
        <v>N/A</v>
      </c>
      <c r="F20" s="22">
        <f>ROUND(MEDIAN(H3:H17),2)</f>
        <v>104.4</v>
      </c>
      <c r="G20" s="23" t="str">
        <f>INDEX(G3:G17,MATCH(H20,H3:H17,0))</f>
        <v>D &amp; W COMERCIO E SERVICOS</v>
      </c>
      <c r="H20" s="24">
        <f>MIN(H3:H17)</f>
        <v>104.4</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104.4</v>
      </c>
    </row>
    <row r="23" spans="1:11">
      <c r="B23" s="32"/>
      <c r="C23" s="32"/>
      <c r="D23" s="67"/>
      <c r="E23" s="67"/>
      <c r="F23" s="36"/>
      <c r="G23" s="27" t="s">
        <v>8</v>
      </c>
      <c r="H23" s="28">
        <f>ROUND(H22,2)*D3</f>
        <v>10440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104</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105</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106</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107</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108</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109</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110</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111</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112</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113</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5" sqref="H5"/>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42</v>
      </c>
      <c r="B2" s="30" t="s">
        <v>22</v>
      </c>
      <c r="C2" s="30" t="s">
        <v>1</v>
      </c>
      <c r="D2" s="30" t="s">
        <v>2</v>
      </c>
      <c r="E2" s="14" t="s">
        <v>30</v>
      </c>
      <c r="F2" s="14" t="s">
        <v>31</v>
      </c>
      <c r="G2" s="30" t="s">
        <v>3</v>
      </c>
      <c r="H2" s="15" t="s">
        <v>4</v>
      </c>
      <c r="I2" s="16" t="s">
        <v>9</v>
      </c>
    </row>
    <row r="3" spans="1:9" ht="12.75" customHeight="1">
      <c r="A3" s="71"/>
      <c r="B3" s="72" t="s">
        <v>146</v>
      </c>
      <c r="C3" s="75" t="s">
        <v>147</v>
      </c>
      <c r="D3" s="78">
        <v>3000</v>
      </c>
      <c r="E3" s="81">
        <f>IF(C20&lt;=25%,D20,MIN(E20:F20))</f>
        <v>4.95</v>
      </c>
      <c r="F3" s="81">
        <f>MIN(H3:H17)</f>
        <v>3.5</v>
      </c>
      <c r="G3" s="4" t="s">
        <v>205</v>
      </c>
      <c r="H3" s="13">
        <v>3.5</v>
      </c>
      <c r="I3" s="29">
        <f>IF(H3="","",(IF($C$20&lt;25%,"N/A",IF(H3&lt;=($D$20+$A$20),H3,"Descartado"))))</f>
        <v>3.5</v>
      </c>
    </row>
    <row r="4" spans="1:9">
      <c r="A4" s="71"/>
      <c r="B4" s="73"/>
      <c r="C4" s="76"/>
      <c r="D4" s="79"/>
      <c r="E4" s="82"/>
      <c r="F4" s="82"/>
      <c r="G4" s="4" t="s">
        <v>372</v>
      </c>
      <c r="H4" s="13">
        <v>6.851</v>
      </c>
      <c r="I4" s="29">
        <f t="shared" ref="I4:I17" si="0">IF(H4="","",(IF($C$20&lt;25%,"N/A",IF(H4&lt;=($D$20+$A$20),H4,"Descartado"))))</f>
        <v>6.851</v>
      </c>
    </row>
    <row r="5" spans="1:9">
      <c r="A5" s="71"/>
      <c r="B5" s="73"/>
      <c r="C5" s="76"/>
      <c r="D5" s="79"/>
      <c r="E5" s="82"/>
      <c r="F5" s="82"/>
      <c r="G5" s="4" t="s">
        <v>373</v>
      </c>
      <c r="H5" s="13">
        <v>24.9</v>
      </c>
      <c r="I5" s="29" t="str">
        <f t="shared" si="0"/>
        <v>Descartado</v>
      </c>
    </row>
    <row r="6" spans="1:9">
      <c r="A6" s="71"/>
      <c r="B6" s="73"/>
      <c r="C6" s="76"/>
      <c r="D6" s="79"/>
      <c r="E6" s="82"/>
      <c r="F6" s="82"/>
      <c r="G6" s="4" t="s">
        <v>374</v>
      </c>
      <c r="H6" s="13">
        <v>4.49</v>
      </c>
      <c r="I6" s="29">
        <f t="shared" si="0"/>
        <v>4.49</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10.075043932906693</v>
      </c>
      <c r="B20" s="19">
        <f>COUNT(H3:H17)</f>
        <v>4</v>
      </c>
      <c r="C20" s="20">
        <f>IF(B20&lt;2,"N/A",(A20/D20))</f>
        <v>1.013585908743128</v>
      </c>
      <c r="D20" s="21">
        <f>ROUND(AVERAGE(H3:H17),2)</f>
        <v>9.94</v>
      </c>
      <c r="E20" s="22">
        <f>IFERROR(ROUND(IF(B20&lt;2,"N/A",(IF(C20&lt;=25%,"N/A",AVERAGE(I3:I17)))),2),"N/A")</f>
        <v>4.95</v>
      </c>
      <c r="F20" s="22">
        <f>ROUND(MEDIAN(H3:H17),2)</f>
        <v>5.67</v>
      </c>
      <c r="G20" s="23" t="str">
        <f>INDEX(G3:G17,MATCH(H20,H3:H17,0))</f>
        <v>JULIANA CORREA PAZ</v>
      </c>
      <c r="H20" s="24">
        <f>MIN(H3:H17)</f>
        <v>3.5</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4.95</v>
      </c>
    </row>
    <row r="23" spans="1:11">
      <c r="B23" s="32"/>
      <c r="C23" s="32"/>
      <c r="D23" s="67"/>
      <c r="E23" s="67"/>
      <c r="F23" s="36"/>
      <c r="G23" s="27" t="s">
        <v>8</v>
      </c>
      <c r="H23" s="28">
        <f>ROUND(H22,2)*D3</f>
        <v>14850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114</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115</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116</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117</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118</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119</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120</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121</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122</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123</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43</v>
      </c>
      <c r="B2" s="30" t="s">
        <v>22</v>
      </c>
      <c r="C2" s="30" t="s">
        <v>1</v>
      </c>
      <c r="D2" s="30" t="s">
        <v>2</v>
      </c>
      <c r="E2" s="14" t="s">
        <v>30</v>
      </c>
      <c r="F2" s="14" t="s">
        <v>31</v>
      </c>
      <c r="G2" s="30" t="s">
        <v>3</v>
      </c>
      <c r="H2" s="15" t="s">
        <v>4</v>
      </c>
      <c r="I2" s="16" t="s">
        <v>9</v>
      </c>
    </row>
    <row r="3" spans="1:9" ht="12.75" customHeight="1">
      <c r="A3" s="71"/>
      <c r="B3" s="72" t="s">
        <v>148</v>
      </c>
      <c r="C3" s="75" t="s">
        <v>147</v>
      </c>
      <c r="D3" s="78">
        <v>1000</v>
      </c>
      <c r="E3" s="81">
        <f>IF(C20&lt;=25%,D20,MIN(E20:F20))</f>
        <v>2.1800000000000002</v>
      </c>
      <c r="F3" s="81">
        <f>MIN(H3:H17)</f>
        <v>1.98</v>
      </c>
      <c r="G3" s="4" t="s">
        <v>206</v>
      </c>
      <c r="H3" s="13">
        <v>6.24</v>
      </c>
      <c r="I3" s="29" t="str">
        <f>IF(H3="","",(IF($C$20&lt;25%,"N/A",IF(H3&lt;=($D$20+$A$20),H3,"Descartado"))))</f>
        <v>Descartado</v>
      </c>
    </row>
    <row r="4" spans="1:9">
      <c r="A4" s="71"/>
      <c r="B4" s="73"/>
      <c r="C4" s="76"/>
      <c r="D4" s="79"/>
      <c r="E4" s="82"/>
      <c r="F4" s="82"/>
      <c r="G4" s="4" t="s">
        <v>207</v>
      </c>
      <c r="H4" s="13">
        <v>1.98</v>
      </c>
      <c r="I4" s="29">
        <f t="shared" ref="I4:I17" si="0">IF(H4="","",(IF($C$20&lt;25%,"N/A",IF(H4&lt;=($D$20+$A$20),H4,"Descartado"))))</f>
        <v>1.98</v>
      </c>
    </row>
    <row r="5" spans="1:9">
      <c r="A5" s="71"/>
      <c r="B5" s="73"/>
      <c r="C5" s="76"/>
      <c r="D5" s="79"/>
      <c r="E5" s="82"/>
      <c r="F5" s="82"/>
      <c r="G5" s="4" t="s">
        <v>208</v>
      </c>
      <c r="H5" s="13">
        <v>2.37</v>
      </c>
      <c r="I5" s="29">
        <f t="shared" si="0"/>
        <v>2.37</v>
      </c>
    </row>
    <row r="6" spans="1:9">
      <c r="A6" s="71"/>
      <c r="B6" s="73"/>
      <c r="C6" s="76"/>
      <c r="D6" s="79"/>
      <c r="E6" s="82"/>
      <c r="F6" s="82"/>
      <c r="G6" s="4" t="s">
        <v>209</v>
      </c>
      <c r="H6" s="13">
        <v>5.74</v>
      </c>
      <c r="I6" s="29" t="str">
        <f t="shared" si="0"/>
        <v>Descartado</v>
      </c>
    </row>
    <row r="7" spans="1:9">
      <c r="A7" s="71"/>
      <c r="B7" s="73"/>
      <c r="C7" s="76"/>
      <c r="D7" s="79"/>
      <c r="E7" s="82"/>
      <c r="F7" s="82"/>
      <c r="G7" s="4" t="s">
        <v>210</v>
      </c>
      <c r="H7" s="13">
        <v>2.0699999999999998</v>
      </c>
      <c r="I7" s="29">
        <f t="shared" si="0"/>
        <v>2.0699999999999998</v>
      </c>
    </row>
    <row r="8" spans="1:9">
      <c r="A8" s="71"/>
      <c r="B8" s="73"/>
      <c r="C8" s="76"/>
      <c r="D8" s="79"/>
      <c r="E8" s="82"/>
      <c r="F8" s="82"/>
      <c r="G8" s="4" t="s">
        <v>211</v>
      </c>
      <c r="H8" s="13">
        <v>2.2799999999999998</v>
      </c>
      <c r="I8" s="29">
        <f t="shared" si="0"/>
        <v>2.2799999999999998</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f>IF(B20&lt;2,"N/A",(STDEV(H3:H17)))</f>
        <v>1.9813497083217455</v>
      </c>
      <c r="B20" s="19">
        <f>COUNT(H3:H17)</f>
        <v>6</v>
      </c>
      <c r="C20" s="20">
        <f>IF(B20&lt;2,"N/A",(A20/D20))</f>
        <v>0.57430426328166528</v>
      </c>
      <c r="D20" s="21">
        <f>ROUND(AVERAGE(H3:H17),2)</f>
        <v>3.45</v>
      </c>
      <c r="E20" s="22">
        <f>IFERROR(ROUND(IF(B20&lt;2,"N/A",(IF(C20&lt;=25%,"N/A",AVERAGE(I3:I17)))),2),"N/A")</f>
        <v>2.1800000000000002</v>
      </c>
      <c r="F20" s="22">
        <f>ROUND(MEDIAN(H3:H17),2)</f>
        <v>2.33</v>
      </c>
      <c r="G20" s="23" t="str">
        <f>INDEX(G3:G17,MATCH(H20,H3:H17,0))</f>
        <v>INTER MASTER COMERCIO DE MATERIAL DE ESCRITORIO E SERVICOS LTDA</v>
      </c>
      <c r="H20" s="24">
        <f>MIN(H3:H17)</f>
        <v>1.98</v>
      </c>
      <c r="I20" s="31"/>
    </row>
    <row r="21" spans="1:11">
      <c r="A21" s="32"/>
      <c r="B21" s="31"/>
      <c r="C21" s="33"/>
      <c r="D21" s="33"/>
      <c r="E21" s="33"/>
      <c r="F21" s="33"/>
      <c r="G21" s="31"/>
      <c r="H21" s="34"/>
      <c r="I21" s="12"/>
      <c r="J21" s="12"/>
      <c r="K21" s="12"/>
    </row>
    <row r="22" spans="1:11">
      <c r="B22" s="32"/>
      <c r="C22" s="32"/>
      <c r="D22" s="67"/>
      <c r="E22" s="67"/>
      <c r="F22" s="35"/>
      <c r="G22" s="25" t="s">
        <v>35</v>
      </c>
      <c r="H22" s="26">
        <f>IF(C20&lt;=25%,D20,MIN(E20:F20))</f>
        <v>2.1800000000000002</v>
      </c>
    </row>
    <row r="23" spans="1:11">
      <c r="B23" s="32"/>
      <c r="C23" s="32"/>
      <c r="D23" s="67"/>
      <c r="E23" s="67"/>
      <c r="F23" s="36"/>
      <c r="G23" s="27" t="s">
        <v>8</v>
      </c>
      <c r="H23" s="28">
        <f>ROUND(H22,2)*D3</f>
        <v>2180</v>
      </c>
    </row>
    <row r="24" spans="1:11">
      <c r="B24" s="37"/>
      <c r="C24" s="37"/>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124</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125</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126</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127</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128</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129</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130</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131</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132</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68" t="s">
        <v>11</v>
      </c>
      <c r="B1" s="69"/>
      <c r="C1" s="69"/>
      <c r="D1" s="69"/>
      <c r="E1" s="69"/>
      <c r="F1" s="69"/>
      <c r="G1" s="69"/>
      <c r="H1" s="69"/>
      <c r="I1" s="70"/>
    </row>
    <row r="2" spans="1:9" ht="25.5">
      <c r="A2" s="71" t="s">
        <v>133</v>
      </c>
      <c r="B2" s="39" t="s">
        <v>22</v>
      </c>
      <c r="C2" s="39" t="s">
        <v>1</v>
      </c>
      <c r="D2" s="39" t="s">
        <v>2</v>
      </c>
      <c r="E2" s="14" t="s">
        <v>30</v>
      </c>
      <c r="F2" s="14" t="s">
        <v>31</v>
      </c>
      <c r="G2" s="39" t="s">
        <v>3</v>
      </c>
      <c r="H2" s="15" t="s">
        <v>4</v>
      </c>
      <c r="I2" s="16" t="s">
        <v>9</v>
      </c>
    </row>
    <row r="3" spans="1:9" ht="12.75" customHeight="1">
      <c r="A3" s="71"/>
      <c r="B3" s="72"/>
      <c r="C3" s="75"/>
      <c r="D3" s="78"/>
      <c r="E3" s="81" t="e">
        <f>IF(C20&lt;=25%,D20,MIN(E20:F20))</f>
        <v>#NUM!</v>
      </c>
      <c r="F3" s="81">
        <f>MIN(H3:H17)</f>
        <v>0</v>
      </c>
      <c r="G3" s="4"/>
      <c r="H3" s="13"/>
      <c r="I3" s="29" t="str">
        <f>IF(H3="","",(IF($C$20&lt;25%,"N/A",IF(H3&lt;=($D$20+$A$20),H3,"Descartado"))))</f>
        <v/>
      </c>
    </row>
    <row r="4" spans="1:9">
      <c r="A4" s="71"/>
      <c r="B4" s="73"/>
      <c r="C4" s="76"/>
      <c r="D4" s="79"/>
      <c r="E4" s="82"/>
      <c r="F4" s="82"/>
      <c r="G4" s="4"/>
      <c r="H4" s="13"/>
      <c r="I4" s="29" t="str">
        <f t="shared" ref="I4:I17" si="0">IF(H4="","",(IF($C$20&lt;25%,"N/A",IF(H4&lt;=($D$20+$A$20),H4,"Descartado"))))</f>
        <v/>
      </c>
    </row>
    <row r="5" spans="1:9">
      <c r="A5" s="71"/>
      <c r="B5" s="73"/>
      <c r="C5" s="76"/>
      <c r="D5" s="79"/>
      <c r="E5" s="82"/>
      <c r="F5" s="82"/>
      <c r="G5" s="4"/>
      <c r="H5" s="13"/>
      <c r="I5" s="29" t="str">
        <f t="shared" si="0"/>
        <v/>
      </c>
    </row>
    <row r="6" spans="1:9">
      <c r="A6" s="71"/>
      <c r="B6" s="73"/>
      <c r="C6" s="76"/>
      <c r="D6" s="79"/>
      <c r="E6" s="82"/>
      <c r="F6" s="82"/>
      <c r="G6" s="4"/>
      <c r="H6" s="13"/>
      <c r="I6" s="29" t="str">
        <f t="shared" si="0"/>
        <v/>
      </c>
    </row>
    <row r="7" spans="1:9">
      <c r="A7" s="71"/>
      <c r="B7" s="73"/>
      <c r="C7" s="76"/>
      <c r="D7" s="79"/>
      <c r="E7" s="82"/>
      <c r="F7" s="82"/>
      <c r="G7" s="4"/>
      <c r="H7" s="13"/>
      <c r="I7" s="29" t="str">
        <f t="shared" si="0"/>
        <v/>
      </c>
    </row>
    <row r="8" spans="1:9">
      <c r="A8" s="71"/>
      <c r="B8" s="73"/>
      <c r="C8" s="76"/>
      <c r="D8" s="79"/>
      <c r="E8" s="82"/>
      <c r="F8" s="82"/>
      <c r="G8" s="4"/>
      <c r="H8" s="13"/>
      <c r="I8" s="29" t="str">
        <f t="shared" si="0"/>
        <v/>
      </c>
    </row>
    <row r="9" spans="1:9">
      <c r="A9" s="71"/>
      <c r="B9" s="73"/>
      <c r="C9" s="76"/>
      <c r="D9" s="79"/>
      <c r="E9" s="82"/>
      <c r="F9" s="82"/>
      <c r="G9" s="4"/>
      <c r="H9" s="13"/>
      <c r="I9" s="29" t="str">
        <f t="shared" si="0"/>
        <v/>
      </c>
    </row>
    <row r="10" spans="1:9">
      <c r="A10" s="71"/>
      <c r="B10" s="73"/>
      <c r="C10" s="76"/>
      <c r="D10" s="79"/>
      <c r="E10" s="82"/>
      <c r="F10" s="82"/>
      <c r="G10" s="4"/>
      <c r="H10" s="13"/>
      <c r="I10" s="29" t="str">
        <f t="shared" si="0"/>
        <v/>
      </c>
    </row>
    <row r="11" spans="1:9">
      <c r="A11" s="71"/>
      <c r="B11" s="73"/>
      <c r="C11" s="76"/>
      <c r="D11" s="79"/>
      <c r="E11" s="82"/>
      <c r="F11" s="82"/>
      <c r="G11" s="4"/>
      <c r="H11" s="13"/>
      <c r="I11" s="29" t="str">
        <f t="shared" si="0"/>
        <v/>
      </c>
    </row>
    <row r="12" spans="1:9">
      <c r="A12" s="71"/>
      <c r="B12" s="73"/>
      <c r="C12" s="76"/>
      <c r="D12" s="79"/>
      <c r="E12" s="82"/>
      <c r="F12" s="82"/>
      <c r="G12" s="4"/>
      <c r="H12" s="13"/>
      <c r="I12" s="29" t="str">
        <f t="shared" si="0"/>
        <v/>
      </c>
    </row>
    <row r="13" spans="1:9">
      <c r="A13" s="71"/>
      <c r="B13" s="73"/>
      <c r="C13" s="76"/>
      <c r="D13" s="79"/>
      <c r="E13" s="82"/>
      <c r="F13" s="82"/>
      <c r="G13" s="4"/>
      <c r="H13" s="13"/>
      <c r="I13" s="29" t="str">
        <f t="shared" si="0"/>
        <v/>
      </c>
    </row>
    <row r="14" spans="1:9">
      <c r="A14" s="71"/>
      <c r="B14" s="73"/>
      <c r="C14" s="76"/>
      <c r="D14" s="79"/>
      <c r="E14" s="82"/>
      <c r="F14" s="82"/>
      <c r="G14" s="4"/>
      <c r="H14" s="13"/>
      <c r="I14" s="29" t="str">
        <f t="shared" si="0"/>
        <v/>
      </c>
    </row>
    <row r="15" spans="1:9">
      <c r="A15" s="71"/>
      <c r="B15" s="73"/>
      <c r="C15" s="76"/>
      <c r="D15" s="79"/>
      <c r="E15" s="82"/>
      <c r="F15" s="82"/>
      <c r="G15" s="4"/>
      <c r="H15" s="13"/>
      <c r="I15" s="29" t="str">
        <f t="shared" si="0"/>
        <v/>
      </c>
    </row>
    <row r="16" spans="1:9">
      <c r="A16" s="71"/>
      <c r="B16" s="73"/>
      <c r="C16" s="76"/>
      <c r="D16" s="79"/>
      <c r="E16" s="82"/>
      <c r="F16" s="82"/>
      <c r="G16" s="4"/>
      <c r="H16" s="13"/>
      <c r="I16" s="29" t="str">
        <f t="shared" si="0"/>
        <v/>
      </c>
    </row>
    <row r="17" spans="1:11">
      <c r="A17" s="71"/>
      <c r="B17" s="74"/>
      <c r="C17" s="77"/>
      <c r="D17" s="80"/>
      <c r="E17" s="83"/>
      <c r="F17" s="83"/>
      <c r="G17" s="4"/>
      <c r="H17" s="13"/>
      <c r="I17" s="29" t="str">
        <f t="shared" si="0"/>
        <v/>
      </c>
    </row>
    <row r="18" spans="1:11">
      <c r="A18" s="5"/>
      <c r="B18" s="6"/>
      <c r="C18" s="7"/>
      <c r="D18" s="7"/>
      <c r="E18" s="8"/>
      <c r="F18" s="8"/>
      <c r="G18" s="9"/>
      <c r="H18" s="9"/>
      <c r="I18" s="10"/>
      <c r="J18" s="11"/>
      <c r="K18" s="11"/>
    </row>
    <row r="19" spans="1:11" ht="25.5">
      <c r="A19" s="16" t="s">
        <v>33</v>
      </c>
      <c r="B19" s="16" t="s">
        <v>34</v>
      </c>
      <c r="C19" s="15" t="s">
        <v>5</v>
      </c>
      <c r="D19" s="17" t="s">
        <v>6</v>
      </c>
      <c r="E19" s="18" t="s">
        <v>10</v>
      </c>
      <c r="F19" s="17" t="s">
        <v>7</v>
      </c>
      <c r="G19" s="65" t="s">
        <v>32</v>
      </c>
      <c r="H19" s="66"/>
      <c r="I19" s="31"/>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31"/>
    </row>
    <row r="21" spans="1:11">
      <c r="A21" s="32"/>
      <c r="B21" s="31"/>
      <c r="C21" s="33"/>
      <c r="D21" s="33"/>
      <c r="E21" s="33"/>
      <c r="F21" s="33"/>
      <c r="G21" s="31"/>
      <c r="H21" s="34"/>
      <c r="I21" s="12"/>
      <c r="J21" s="12"/>
      <c r="K21" s="12"/>
    </row>
    <row r="22" spans="1:11">
      <c r="B22" s="32"/>
      <c r="C22" s="32"/>
      <c r="D22" s="67"/>
      <c r="E22" s="67"/>
      <c r="F22" s="35"/>
      <c r="G22" s="25" t="s">
        <v>35</v>
      </c>
      <c r="H22" s="26" t="e">
        <f>IF(C20&lt;=25%,D20,MIN(E20:F20))</f>
        <v>#NUM!</v>
      </c>
    </row>
    <row r="23" spans="1:11">
      <c r="B23" s="32"/>
      <c r="C23" s="32"/>
      <c r="D23" s="67"/>
      <c r="E23" s="67"/>
      <c r="F23" s="36"/>
      <c r="G23" s="27" t="s">
        <v>8</v>
      </c>
      <c r="H23" s="28" t="e">
        <f>ROUND(H22,2)*D3</f>
        <v>#NUM!</v>
      </c>
    </row>
    <row r="24" spans="1:11">
      <c r="B24" s="38"/>
      <c r="C24" s="38"/>
      <c r="D24" s="31"/>
      <c r="E24" s="31"/>
    </row>
    <row r="26" spans="1:11">
      <c r="A26" s="59" t="s">
        <v>23</v>
      </c>
      <c r="B26" s="60"/>
      <c r="C26" s="60"/>
      <c r="D26" s="60"/>
      <c r="E26" s="60"/>
      <c r="F26" s="60"/>
      <c r="G26" s="60"/>
      <c r="H26" s="60"/>
      <c r="I26" s="61"/>
    </row>
    <row r="27" spans="1:11" ht="12.75" customHeight="1">
      <c r="A27" s="59" t="s">
        <v>24</v>
      </c>
      <c r="B27" s="60"/>
      <c r="C27" s="60"/>
      <c r="D27" s="60"/>
      <c r="E27" s="60"/>
      <c r="F27" s="60"/>
      <c r="G27" s="60"/>
      <c r="H27" s="60"/>
      <c r="I27" s="61"/>
    </row>
    <row r="28" spans="1:11" ht="12.75" customHeight="1">
      <c r="A28" s="59" t="s">
        <v>25</v>
      </c>
      <c r="B28" s="60"/>
      <c r="C28" s="60"/>
      <c r="D28" s="60"/>
      <c r="E28" s="60"/>
      <c r="F28" s="60"/>
      <c r="G28" s="60"/>
      <c r="H28" s="60"/>
      <c r="I28" s="61"/>
    </row>
    <row r="29" spans="1:11">
      <c r="A29" s="59" t="s">
        <v>26</v>
      </c>
      <c r="B29" s="60"/>
      <c r="C29" s="60"/>
      <c r="D29" s="60"/>
      <c r="E29" s="60"/>
      <c r="F29" s="60"/>
      <c r="G29" s="60"/>
      <c r="H29" s="60"/>
      <c r="I29" s="61"/>
    </row>
    <row r="30" spans="1:11" ht="12.75" customHeight="1">
      <c r="A30" s="59" t="s">
        <v>27</v>
      </c>
      <c r="B30" s="60"/>
      <c r="C30" s="60"/>
      <c r="D30" s="60"/>
      <c r="E30" s="60"/>
      <c r="F30" s="60"/>
      <c r="G30" s="60"/>
      <c r="H30" s="60"/>
      <c r="I30" s="61"/>
    </row>
    <row r="31" spans="1:11" ht="12.75" customHeight="1">
      <c r="A31" s="59" t="s">
        <v>28</v>
      </c>
      <c r="B31" s="60"/>
      <c r="C31" s="60"/>
      <c r="D31" s="60"/>
      <c r="E31" s="60"/>
      <c r="F31" s="60"/>
      <c r="G31" s="60"/>
      <c r="H31" s="60"/>
      <c r="I31" s="61"/>
    </row>
    <row r="32" spans="1:11" ht="24.75" customHeight="1">
      <c r="A32" s="62" t="s">
        <v>29</v>
      </c>
      <c r="B32" s="63"/>
      <c r="C32" s="63"/>
      <c r="D32" s="63"/>
      <c r="E32" s="63"/>
      <c r="F32" s="63"/>
      <c r="G32" s="63"/>
      <c r="H32" s="63"/>
      <c r="I32" s="64"/>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102</vt:i4>
      </vt:variant>
      <vt:variant>
        <vt:lpstr>Intervalos nomeados</vt:lpstr>
      </vt:variant>
      <vt:variant>
        <vt:i4>4</vt:i4>
      </vt:variant>
    </vt:vector>
  </HeadingPairs>
  <TitlesOfParts>
    <vt:vector size="106"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Item51</vt:lpstr>
      <vt:lpstr>Item52</vt:lpstr>
      <vt:lpstr>Item53</vt:lpstr>
      <vt:lpstr>Item54</vt:lpstr>
      <vt:lpstr>Item55</vt:lpstr>
      <vt:lpstr>Item56</vt:lpstr>
      <vt:lpstr>Item57</vt:lpstr>
      <vt:lpstr>Item58</vt:lpstr>
      <vt:lpstr>Item59</vt:lpstr>
      <vt:lpstr>Item60</vt:lpstr>
      <vt:lpstr>Item61</vt:lpstr>
      <vt:lpstr>Item62</vt:lpstr>
      <vt:lpstr>Item63</vt:lpstr>
      <vt:lpstr>Item64</vt:lpstr>
      <vt:lpstr>Item65</vt:lpstr>
      <vt:lpstr>Item66</vt:lpstr>
      <vt:lpstr>Item67</vt:lpstr>
      <vt:lpstr>Item68</vt:lpstr>
      <vt:lpstr>Item69</vt:lpstr>
      <vt:lpstr>Item70</vt:lpstr>
      <vt:lpstr>Item71</vt:lpstr>
      <vt:lpstr>Item72</vt:lpstr>
      <vt:lpstr>Item73</vt:lpstr>
      <vt:lpstr>Item74</vt:lpstr>
      <vt:lpstr>Item75</vt:lpstr>
      <vt:lpstr>Item76</vt:lpstr>
      <vt:lpstr>Item77</vt:lpstr>
      <vt:lpstr>Item78</vt:lpstr>
      <vt:lpstr>Item79</vt:lpstr>
      <vt:lpstr>Item80</vt:lpstr>
      <vt:lpstr>Item81</vt:lpstr>
      <vt:lpstr>Item82</vt:lpstr>
      <vt:lpstr>Item83</vt:lpstr>
      <vt:lpstr>Item84</vt:lpstr>
      <vt:lpstr>Item85</vt:lpstr>
      <vt:lpstr>Item86</vt:lpstr>
      <vt:lpstr>Item87</vt:lpstr>
      <vt:lpstr>Item88</vt:lpstr>
      <vt:lpstr>Item89</vt:lpstr>
      <vt:lpstr>Item90</vt:lpstr>
      <vt:lpstr>Item91</vt:lpstr>
      <vt:lpstr>Item92</vt:lpstr>
      <vt:lpstr>Item93</vt:lpstr>
      <vt:lpstr>Item94</vt:lpstr>
      <vt:lpstr>Item95</vt:lpstr>
      <vt:lpstr>Item96</vt:lpstr>
      <vt:lpstr>Item97</vt:lpstr>
      <vt:lpstr>Item98</vt:lpstr>
      <vt:lpstr>Item99</vt:lpstr>
      <vt:lpstr>Item100</vt:lpstr>
      <vt:lpstr>TOTAL</vt:lpstr>
      <vt:lpstr>menores</vt:lpstr>
      <vt:lpstr>menores!Area_de_impressao</vt:lpstr>
      <vt:lpstr>TOTAL!Area_de_impressao</vt:lpstr>
      <vt:lpstr>menores!Titulos_de_impressao</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Grace Lane Gama Bulcão</cp:lastModifiedBy>
  <cp:lastPrinted>2023-08-15T18:33:16Z</cp:lastPrinted>
  <dcterms:created xsi:type="dcterms:W3CDTF">2019-01-16T20:04:04Z</dcterms:created>
  <dcterms:modified xsi:type="dcterms:W3CDTF">2023-10-03T19:13:19Z</dcterms:modified>
</cp:coreProperties>
</file>